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activeTab="1"/>
  </bookViews>
  <sheets>
    <sheet name="Creating a Quote" sheetId="5" r:id="rId1"/>
    <sheet name="Configure Products" sheetId="1" r:id="rId2"/>
    <sheet name="Quotation" sheetId="3" r:id="rId3"/>
    <sheet name="Jacket-July-2011" sheetId="4" r:id="rId4"/>
    <sheet name="US List Prices" sheetId="2" r:id="rId5"/>
  </sheets>
  <calcPr calcId="125725"/>
</workbook>
</file>

<file path=xl/calcChain.xml><?xml version="1.0" encoding="utf-8"?>
<calcChain xmlns="http://schemas.openxmlformats.org/spreadsheetml/2006/main">
  <c r="C27" i="1"/>
  <c r="H27" s="1"/>
  <c r="G22"/>
  <c r="D27" l="1"/>
  <c r="F27"/>
  <c r="H29" i="3" s="1"/>
  <c r="G27" i="1"/>
  <c r="B19" i="3" l="1"/>
  <c r="D33" i="1"/>
  <c r="C75" i="4"/>
  <c r="D74"/>
  <c r="D75" s="1"/>
  <c r="D24" i="1"/>
  <c r="H24"/>
  <c r="G24"/>
  <c r="F24"/>
  <c r="H22"/>
  <c r="D12"/>
  <c r="C83" i="4"/>
  <c r="D111"/>
  <c r="D110"/>
  <c r="C97"/>
  <c r="C96"/>
  <c r="D96" s="1"/>
  <c r="C95"/>
  <c r="C92"/>
  <c r="C106" s="1"/>
  <c r="D82"/>
  <c r="D83" s="1"/>
  <c r="C79"/>
  <c r="D78"/>
  <c r="D79" s="1"/>
  <c r="C71"/>
  <c r="D70"/>
  <c r="D71" s="1"/>
  <c r="C67"/>
  <c r="D66"/>
  <c r="D67" s="1"/>
  <c r="D49"/>
  <c r="C49"/>
  <c r="D33"/>
  <c r="C33"/>
  <c r="C26"/>
  <c r="C62" s="1"/>
  <c r="C25"/>
  <c r="C61" s="1"/>
  <c r="C24"/>
  <c r="C60" s="1"/>
  <c r="C23"/>
  <c r="C59" s="1"/>
  <c r="C22"/>
  <c r="C58" s="1"/>
  <c r="C21"/>
  <c r="C57" s="1"/>
  <c r="C20"/>
  <c r="C56" s="1"/>
  <c r="C19"/>
  <c r="C55" s="1"/>
  <c r="C18"/>
  <c r="C54" s="1"/>
  <c r="C17"/>
  <c r="C53" s="1"/>
  <c r="C16"/>
  <c r="C52" s="1"/>
  <c r="C15"/>
  <c r="C51" s="1"/>
  <c r="C14"/>
  <c r="C50" s="1"/>
  <c r="C11"/>
  <c r="D11" s="1"/>
  <c r="C10"/>
  <c r="D10" s="1"/>
  <c r="G33" i="1" l="1"/>
  <c r="H33"/>
  <c r="F33"/>
  <c r="D15" i="4"/>
  <c r="D17"/>
  <c r="D19"/>
  <c r="D21"/>
  <c r="D23"/>
  <c r="D25"/>
  <c r="C35"/>
  <c r="C37"/>
  <c r="C39"/>
  <c r="C41"/>
  <c r="C43"/>
  <c r="C45"/>
  <c r="D95"/>
  <c r="D97"/>
  <c r="C101"/>
  <c r="C103"/>
  <c r="C105"/>
  <c r="C107"/>
  <c r="D14"/>
  <c r="D16"/>
  <c r="D18"/>
  <c r="D20"/>
  <c r="D22"/>
  <c r="D24"/>
  <c r="D26"/>
  <c r="C34"/>
  <c r="C36"/>
  <c r="C38"/>
  <c r="C40"/>
  <c r="C42"/>
  <c r="C44"/>
  <c r="C46"/>
  <c r="D92"/>
  <c r="C100"/>
  <c r="C102"/>
  <c r="C104"/>
  <c r="D106" l="1"/>
  <c r="D104"/>
  <c r="D102"/>
  <c r="D100"/>
  <c r="D107"/>
  <c r="D105"/>
  <c r="D103"/>
  <c r="D101"/>
  <c r="D62"/>
  <c r="D46"/>
  <c r="D58"/>
  <c r="D42"/>
  <c r="D54"/>
  <c r="D38"/>
  <c r="D50"/>
  <c r="D34"/>
  <c r="D61"/>
  <c r="D45"/>
  <c r="D59"/>
  <c r="D43"/>
  <c r="D57"/>
  <c r="D41"/>
  <c r="D55"/>
  <c r="D39"/>
  <c r="D53"/>
  <c r="D37"/>
  <c r="D51"/>
  <c r="D35"/>
  <c r="D60"/>
  <c r="D44"/>
  <c r="D56"/>
  <c r="D40"/>
  <c r="D52"/>
  <c r="D36"/>
  <c r="D14" i="1" l="1"/>
  <c r="D13"/>
  <c r="D32"/>
  <c r="G32" s="1"/>
  <c r="D31"/>
  <c r="H31" s="1"/>
  <c r="D30"/>
  <c r="H30" s="1"/>
  <c r="D28"/>
  <c r="F28" s="1"/>
  <c r="D29"/>
  <c r="B34" i="3"/>
  <c r="D34"/>
  <c r="B33"/>
  <c r="D33"/>
  <c r="D32"/>
  <c r="B32"/>
  <c r="B31"/>
  <c r="D31"/>
  <c r="D30"/>
  <c r="H29" i="1"/>
  <c r="D25"/>
  <c r="B35" i="3"/>
  <c r="B30"/>
  <c r="D35"/>
  <c r="H28" i="1" l="1"/>
  <c r="F32"/>
  <c r="H32"/>
  <c r="F31"/>
  <c r="G31"/>
  <c r="G30"/>
  <c r="F30"/>
  <c r="F29"/>
  <c r="G29"/>
  <c r="G28"/>
  <c r="B39" i="3"/>
  <c r="B38"/>
  <c r="B37"/>
  <c r="G28"/>
  <c r="D28"/>
  <c r="B28"/>
  <c r="G27"/>
  <c r="D27"/>
  <c r="D26"/>
  <c r="B27"/>
  <c r="G22"/>
  <c r="D22"/>
  <c r="B22"/>
  <c r="B23"/>
  <c r="B24" l="1"/>
  <c r="D25" l="1"/>
  <c r="D24"/>
  <c r="D23"/>
  <c r="G26"/>
  <c r="B26"/>
  <c r="G25"/>
  <c r="B25"/>
  <c r="G24"/>
  <c r="G23"/>
  <c r="H9" l="1"/>
  <c r="H6"/>
  <c r="H5"/>
  <c r="H26" i="1"/>
  <c r="H25"/>
  <c r="H23"/>
  <c r="H20"/>
  <c r="H19"/>
  <c r="G26"/>
  <c r="G25"/>
  <c r="G23"/>
  <c r="G20"/>
  <c r="G19"/>
  <c r="H35" i="3"/>
  <c r="F26" i="1"/>
  <c r="F25"/>
  <c r="H25" i="3" s="1"/>
  <c r="F23" i="1"/>
  <c r="H24" i="3" s="1"/>
  <c r="F22" i="1"/>
  <c r="F20"/>
  <c r="F19"/>
  <c r="H18"/>
  <c r="D19"/>
  <c r="D20"/>
  <c r="H34" l="1"/>
  <c r="H37"/>
  <c r="H26" i="3"/>
  <c r="H23"/>
  <c r="H27"/>
  <c r="H28"/>
  <c r="G18" i="1"/>
  <c r="G34" s="1"/>
  <c r="G37" s="1"/>
  <c r="D18"/>
  <c r="F18"/>
  <c r="F34" s="1"/>
  <c r="E15" i="2"/>
  <c r="E14"/>
  <c r="H38" i="1" l="1"/>
  <c r="H39"/>
  <c r="H40"/>
  <c r="H22" i="3"/>
  <c r="F37" i="1"/>
  <c r="G38"/>
  <c r="G39"/>
  <c r="D26"/>
  <c r="D23"/>
  <c r="D22"/>
  <c r="F39" l="1"/>
  <c r="F38"/>
  <c r="D34"/>
  <c r="H37" i="3"/>
  <c r="H38"/>
  <c r="H39"/>
  <c r="G40" i="1"/>
  <c r="D37"/>
  <c r="F40" l="1"/>
  <c r="D38"/>
  <c r="D39"/>
  <c r="H41" i="3"/>
  <c r="D40" i="1" l="1"/>
</calcChain>
</file>

<file path=xl/comments1.xml><?xml version="1.0" encoding="utf-8"?>
<comments xmlns="http://schemas.openxmlformats.org/spreadsheetml/2006/main">
  <authors>
    <author>Rosario</author>
    <author>dgibson</author>
    <author>Bill's Laptop</author>
    <author>Bill Stott</author>
  </authors>
  <commentList>
    <comment ref="F1" authorId="0">
      <text>
        <r>
          <rPr>
            <b/>
            <sz val="8"/>
            <color indexed="81"/>
            <rFont val="Tahoma"/>
            <family val="2"/>
          </rPr>
          <t xml:space="preserve">
This flag selects which of the three pricing schedules below is reflected in the FORMAL QUOTE tab as follows:
0 - COMMERCIAL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C25" authorId="1">
      <text>
        <r>
          <rPr>
            <b/>
            <sz val="8"/>
            <color indexed="81"/>
            <rFont val="Tahoma"/>
            <family val="2"/>
          </rPr>
          <t>dgibson:</t>
        </r>
        <r>
          <rPr>
            <sz val="8"/>
            <color indexed="81"/>
            <rFont val="Tahoma"/>
            <family val="2"/>
          </rPr>
          <t xml:space="preserve">
SDK required for adding your own CUDA kernals to Jacket</t>
        </r>
      </text>
    </comment>
    <comment ref="A27" authorId="2">
      <text>
        <r>
          <rPr>
            <b/>
            <sz val="9"/>
            <color indexed="81"/>
            <rFont val="Tahoma"/>
            <family val="2"/>
          </rPr>
          <t>Bill:</t>
        </r>
        <r>
          <rPr>
            <sz val="9"/>
            <color indexed="81"/>
            <rFont val="Tahoma"/>
            <family val="2"/>
          </rPr>
          <t xml:space="preserve">
Requires 1 Base License per MGL Workstation</t>
        </r>
      </text>
    </comment>
    <comment ref="C27" authorId="1">
      <text>
        <r>
          <rPr>
            <b/>
            <sz val="8"/>
            <color indexed="81"/>
            <rFont val="Tahoma"/>
            <family val="2"/>
          </rPr>
          <t>dgibson:</t>
        </r>
        <r>
          <rPr>
            <sz val="8"/>
            <color indexed="81"/>
            <rFont val="Tahoma"/>
            <family val="2"/>
          </rPr>
          <t xml:space="preserve">
Total MGL licenses for quote</t>
        </r>
      </text>
    </comment>
    <comment ref="C28" authorId="3">
      <text>
        <r>
          <rPr>
            <b/>
            <sz val="9"/>
            <color indexed="81"/>
            <rFont val="Tahoma"/>
            <family val="2"/>
          </rPr>
          <t>Bill Stott:</t>
        </r>
        <r>
          <rPr>
            <sz val="9"/>
            <color indexed="81"/>
            <rFont val="Tahoma"/>
            <family val="2"/>
          </rPr>
          <t xml:space="preserve">
Total # of GPUs in System
</t>
        </r>
      </text>
    </comment>
    <comment ref="C29" authorId="3">
      <text>
        <r>
          <rPr>
            <b/>
            <sz val="9"/>
            <color indexed="81"/>
            <rFont val="Tahoma"/>
            <family val="2"/>
          </rPr>
          <t>Bill Stott:</t>
        </r>
        <r>
          <rPr>
            <sz val="9"/>
            <color indexed="81"/>
            <rFont val="Tahoma"/>
            <family val="2"/>
          </rPr>
          <t xml:space="preserve">
Total # of GPUs in System</t>
        </r>
      </text>
    </comment>
    <comment ref="C30" authorId="3">
      <text>
        <r>
          <rPr>
            <b/>
            <sz val="9"/>
            <color indexed="81"/>
            <rFont val="Tahoma"/>
            <family val="2"/>
          </rPr>
          <t>Bill Stott:</t>
        </r>
        <r>
          <rPr>
            <sz val="9"/>
            <color indexed="81"/>
            <rFont val="Tahoma"/>
            <family val="2"/>
          </rPr>
          <t xml:space="preserve">
Total # of GPUs in System</t>
        </r>
      </text>
    </comment>
    <comment ref="C31" authorId="3">
      <text>
        <r>
          <rPr>
            <b/>
            <sz val="9"/>
            <color indexed="81"/>
            <rFont val="Tahoma"/>
            <family val="2"/>
          </rPr>
          <t>Bill Stott:</t>
        </r>
        <r>
          <rPr>
            <sz val="9"/>
            <color indexed="81"/>
            <rFont val="Tahoma"/>
            <family val="2"/>
          </rPr>
          <t xml:space="preserve">
Total # of GPUs in System</t>
        </r>
      </text>
    </comment>
    <comment ref="C32" authorId="3">
      <text>
        <r>
          <rPr>
            <b/>
            <sz val="9"/>
            <color indexed="81"/>
            <rFont val="Tahoma"/>
            <family val="2"/>
          </rPr>
          <t>Bill Stott:</t>
        </r>
        <r>
          <rPr>
            <sz val="9"/>
            <color indexed="81"/>
            <rFont val="Tahoma"/>
            <family val="2"/>
          </rPr>
          <t xml:space="preserve">
Total # of GPUs in System</t>
        </r>
      </text>
    </comment>
    <comment ref="A33" authorId="2">
      <text>
        <r>
          <rPr>
            <b/>
            <sz val="9"/>
            <color indexed="81"/>
            <rFont val="Tahoma"/>
            <family val="2"/>
          </rPr>
          <t>Bill:</t>
        </r>
        <r>
          <rPr>
            <sz val="9"/>
            <color indexed="81"/>
            <rFont val="Tahoma"/>
            <family val="2"/>
          </rPr>
          <t xml:space="preserve">
Requires 1 Base License per HPC License</t>
        </r>
      </text>
    </comment>
    <comment ref="C33"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C37"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 ref="A38" authorId="2">
      <text>
        <r>
          <rPr>
            <b/>
            <sz val="9"/>
            <color indexed="81"/>
            <rFont val="Tahoma"/>
            <family val="2"/>
          </rPr>
          <t>Bill:</t>
        </r>
        <r>
          <rPr>
            <sz val="9"/>
            <color indexed="81"/>
            <rFont val="Tahoma"/>
            <family val="2"/>
          </rPr>
          <t xml:space="preserve">
Additional Year of SMS. Base License comes with 1st Year.</t>
        </r>
      </text>
    </comment>
    <comment ref="C38"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9" authorId="2">
      <text>
        <r>
          <rPr>
            <b/>
            <sz val="9"/>
            <color indexed="81"/>
            <rFont val="Tahoma"/>
            <family val="2"/>
          </rPr>
          <t>Bill:</t>
        </r>
        <r>
          <rPr>
            <sz val="9"/>
            <color indexed="81"/>
            <rFont val="Tahoma"/>
            <family val="2"/>
          </rPr>
          <t xml:space="preserve">
Phone Support is NOT included in Base License</t>
        </r>
      </text>
    </comment>
    <comment ref="C39" authorId="1">
      <text>
        <r>
          <rPr>
            <b/>
            <sz val="8"/>
            <color indexed="81"/>
            <rFont val="Tahoma"/>
            <family val="2"/>
          </rPr>
          <t>dgibson:</t>
        </r>
        <r>
          <rPr>
            <sz val="8"/>
            <color indexed="81"/>
            <rFont val="Tahoma"/>
            <family val="2"/>
          </rPr>
          <t xml:space="preserve">
If you desire Phone support enter "1" here, this is for 1 year of support</t>
        </r>
      </text>
    </comment>
  </commentList>
</comments>
</file>

<file path=xl/sharedStrings.xml><?xml version="1.0" encoding="utf-8"?>
<sst xmlns="http://schemas.openxmlformats.org/spreadsheetml/2006/main" count="446" uniqueCount="310">
  <si>
    <t>Description</t>
  </si>
  <si>
    <t>Per GPU Pricing</t>
  </si>
  <si>
    <t>US List Price</t>
  </si>
  <si>
    <t>Jacket Base</t>
  </si>
  <si>
    <t>Base License</t>
  </si>
  <si>
    <t>N</t>
  </si>
  <si>
    <t>Double Precision Linear Alg.</t>
  </si>
  <si>
    <t>Jacket SDK</t>
  </si>
  <si>
    <t>Software Development Kit</t>
  </si>
  <si>
    <t>Jacket JMC</t>
  </si>
  <si>
    <t>Compiler Option</t>
  </si>
  <si>
    <t>Jacket MGL</t>
  </si>
  <si>
    <t>Multiple GPUs workstations</t>
  </si>
  <si>
    <t>Y</t>
  </si>
  <si>
    <t>Jacket HPC</t>
  </si>
  <si>
    <t>Multiple GPUs clusters</t>
  </si>
  <si>
    <t>Quantity</t>
  </si>
  <si>
    <t>1=Yes</t>
  </si>
  <si>
    <t>Uplift</t>
  </si>
  <si>
    <t>Software Maintenance</t>
  </si>
  <si>
    <t>Telephone Support</t>
  </si>
  <si>
    <t>Concurrent License</t>
  </si>
  <si>
    <t>End User Purchase Price</t>
  </si>
  <si>
    <t>Prepare a Quotation for Jacket Products</t>
  </si>
  <si>
    <t>Developers Bundle</t>
  </si>
  <si>
    <t>5 Jacket Seats</t>
  </si>
  <si>
    <t>10 Jacket Seats</t>
  </si>
  <si>
    <t>5 Base Jacket licenses</t>
  </si>
  <si>
    <t>10 Base Jacket Licenses</t>
  </si>
  <si>
    <t>Special Bundles</t>
  </si>
  <si>
    <t>Product Name</t>
  </si>
  <si>
    <t>Part Number</t>
  </si>
  <si>
    <t>JKT-BASE-PER</t>
  </si>
  <si>
    <t>Perpetual</t>
  </si>
  <si>
    <t>NO</t>
  </si>
  <si>
    <t>Jacket DLA</t>
  </si>
  <si>
    <t>YES</t>
  </si>
  <si>
    <t>JKT-MGL0XXG-PER</t>
  </si>
  <si>
    <t>JKT-HPC0XXG-PER</t>
  </si>
  <si>
    <t>JKT-DLA-PER</t>
  </si>
  <si>
    <t>JKT-DCSDK-PER</t>
  </si>
  <si>
    <t>JKT-JMC-PER</t>
  </si>
  <si>
    <t>JKT-CN02G-PER</t>
  </si>
  <si>
    <t>Designated Computer Licenses</t>
  </si>
  <si>
    <t>Concurrent Network Licenses</t>
  </si>
  <si>
    <t>JKT-CNSDK-PER</t>
  </si>
  <si>
    <t>Double Precision Linear Algebra</t>
  </si>
  <si>
    <t>Multiple GPUs workstations - 2 to 8 GPUs</t>
  </si>
  <si>
    <t>Multiple GPUs clusters - 8+ GPUs</t>
  </si>
  <si>
    <t>1 year of software updates - 10% of license fees</t>
  </si>
  <si>
    <t>Phone Support</t>
  </si>
  <si>
    <t>1 year of phone support - 20% of license fees</t>
  </si>
  <si>
    <t>Services &amp; Support</t>
  </si>
  <si>
    <t>NOTE:</t>
  </si>
  <si>
    <t>Discount Schedule</t>
  </si>
  <si>
    <t>Discounts</t>
  </si>
  <si>
    <t>Academic</t>
  </si>
  <si>
    <t>Base, DLA, SDK, 4 GPUs</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</si>
  <si>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</si>
  <si>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</si>
  <si>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</si>
  <si>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</si>
  <si>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</si>
  <si>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</si>
  <si>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</si>
  <si>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</si>
  <si>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</si>
  <si>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</si>
  <si>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</si>
  <si>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</si>
  <si>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</si>
  <si>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</si>
  <si>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</si>
  <si>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</si>
  <si>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</si>
  <si>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</si>
  <si>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</si>
  <si>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</si>
  <si>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</si>
  <si>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</si>
  <si>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 xml:space="preserve"> Jacket US List Price</t>
  </si>
  <si>
    <t>All pricing in US Dollars</t>
  </si>
  <si>
    <t>List Price</t>
  </si>
  <si>
    <t>EDU Price</t>
  </si>
  <si>
    <t>JKT-BASE-5PAK</t>
  </si>
  <si>
    <t>JKT-BASE-10PAK</t>
  </si>
  <si>
    <t>Upgrades to Multi GPU JACKET LICENSE</t>
  </si>
  <si>
    <t>Addition to Base License</t>
  </si>
  <si>
    <t>JKT-MGL002G-PER</t>
  </si>
  <si>
    <t xml:space="preserve">Upgrade  to a Multi GPU base license up to 2 GPUs The upgrade license includes SGS  – Simultaneous GPU Sessions (for the ability  to assign individual GPUs to separate MATLAB instances)and MGL Multi- GPU License supporting Mathworks’ PCT </t>
  </si>
  <si>
    <t>JKT-MGL003G-PER</t>
  </si>
  <si>
    <t xml:space="preserve">Upgrade  to a Multi GPU base license up to 3 GPUs The upgrade license includes SGS  – Simultaneous GPU Sessions (for the ability  to assign individual GPUs to separate MATLAB instances)and MGL Multi- GPU License supporting Mathworks’ PCT </t>
  </si>
  <si>
    <t>JKT-MGL004G-PER</t>
  </si>
  <si>
    <t xml:space="preserve">Upgrade  to a Multi GPU base license up to 4 GPUs, The upgrade license includes SGS  – Simultaneous GPU Sessions (for the ability  to assign individual GPUs to separate MATLAB instances)and MGL Multi- GPU License supporting Mathworks’ PCT </t>
  </si>
  <si>
    <t>JKT-MGL005G-PER</t>
  </si>
  <si>
    <t xml:space="preserve">Upgrade  to a Multi GPU base license up to 5 GPUs, The upgrade license includes SGS  – Simultaneous GPU Sessions (for the ability  to assign individual GPUs to separate MATLAB instances)and MGL Multi- GPU License supporting Mathworks’ PCT </t>
  </si>
  <si>
    <t>JKT-MGL006G-PER</t>
  </si>
  <si>
    <t xml:space="preserve">Upgrade  to a Multi GPU base license up to 6 GPUs, The upgrade license includes SGS  – Simultaneous GPU Sessions (for the ability  to assign individual GPUs to separate MATLAB instances)and MGL Multi- GPU License supporting Mathworks’ PCT </t>
  </si>
  <si>
    <t>JKT-MGL007G-PER</t>
  </si>
  <si>
    <t xml:space="preserve">Upgrade  to a Multi GPU base license up to 7 GPUs, The upgrade license includes SGS  – Simultaneous GPU Sessions (for the ability  to assign individual GPUs to separate MATLAB instances)and MGL Multi- GPU License supporting Mathworks’ PCT </t>
  </si>
  <si>
    <t>JKT-MGL008G-PER</t>
  </si>
  <si>
    <t xml:space="preserve">Upgrade  to a Multi GPU base license up to 8 GPUs,The upgrade license includes SGS  – Simultaneous GPU Sessions (for the ability  to assign individual GPUs to separate MATLAB instances)and MGL Multi- GPU License supporting Mathworks’ PCT </t>
  </si>
  <si>
    <t>JKT-HPC012G-PER</t>
  </si>
  <si>
    <t>Upgrade  to a HPC Multi GPU base license up to 12 GPUs, The upgrade license includes SGS  – Simultaneous GPU Sessions (for the ability  to assign individual GPUs to separate MATLAB instances)and MGL Multi- GPU License supporting Mathworks’ PCT &amp; DCS</t>
  </si>
  <si>
    <t>JKT-HPC016G-PER</t>
  </si>
  <si>
    <t>Upgrade  to a HPC Multi GPU base license up to 16 GPUs, The upgrade license includes SGS  – Simultaneous GPU Sessions (for the ability  to assign individual GPUs to separate MATLAB instances)and MGL Multi- GPU License supporting Mathworks’ PCT &amp; DCS</t>
  </si>
  <si>
    <t>JKT-HPC032G-PER</t>
  </si>
  <si>
    <t>Upgrade  to a HPC Multi GPU base license up to 32 GPUs, The upgrade license includes SGS  – Simultaneous GPU Sessions (for the ability  to assign individual GPUs to separate MATLAB instances)and MGL Multi- GPU License supporting Mathworks’ PCT &amp; DCS</t>
  </si>
  <si>
    <t>JKT-HPC064G-PER</t>
  </si>
  <si>
    <t>Upgrade  to a HPC Multi GPU base license up to 64 GPUs, The upgrade license includes SGS  – Simultaneous GPU Sessions (for the ability  to assign individual GPUs to separate MATLAB instances)and MGL Multi- GPU License supporting Mathworks’ PCT &amp; DCS</t>
  </si>
  <si>
    <t>JKT-HPC128G-PER</t>
  </si>
  <si>
    <t>Upgrade  to a HPC Multi GPU base license up to 128 GPUs, The upgrade license includes SGS  – Simultaneous GPU Sessions (for the ability  to assign individual GPUs to separate MATLAB instances)and MGL Multi- GPU License supporting Mathworks’ PCT &amp; DCS</t>
  </si>
  <si>
    <t>JKT-HPC256G-PER</t>
  </si>
  <si>
    <t>Upgrade  to a HPC Multi GPU base license up to 256 GPUs, The upgrade license includes SGS  – Simultaneous GPU Sessions (for the ability  to assign individual GPUs to separate MATLAB instances)and MGL Multi- GPU License supporting Mathworks’ PCT &amp; DCS</t>
  </si>
  <si>
    <t>Software Maintenance Service (SMS)</t>
  </si>
  <si>
    <t>JKT-BASE-SMS</t>
  </si>
  <si>
    <t>1-year additional Jacket Base Software Maintenance Service</t>
  </si>
  <si>
    <t>JKT-MGL002G-SMS</t>
  </si>
  <si>
    <t>1-year additional Jacket Multi-GPU Software Maintenance Service for up to 2 GPUs</t>
  </si>
  <si>
    <t>JKT-MGL003G-SMS</t>
  </si>
  <si>
    <t>1-year additional Jacket Multi-GPU Software Maintenance Service for up to 3 GPUs</t>
  </si>
  <si>
    <t>JKT-MGL004G-SMS</t>
  </si>
  <si>
    <t>1-year additional Jacket Multi-GPU Software Maintenance Service for up to 4 GPUs</t>
  </si>
  <si>
    <t>JKT-MGL005G-SMS</t>
  </si>
  <si>
    <t>1-year additional Jacket Multi-GPU Software Maintenance Service for up to 5 GPUs</t>
  </si>
  <si>
    <t>JKT-MGL006G-SMS</t>
  </si>
  <si>
    <t>1-year additional Jacket Multi-GPU Software Maintenance Service for up to 6 GPUs</t>
  </si>
  <si>
    <t>JKT-MGL007G-SMS</t>
  </si>
  <si>
    <t>1-year additional Jacket Multi-GPU Software Maintenance Service for up to 7 GPUs</t>
  </si>
  <si>
    <t>JKT-MGL008G-SMS</t>
  </si>
  <si>
    <t>1-year additional Jacket Multi-GPU Software Maintenance Service for up to 8 GPUs</t>
  </si>
  <si>
    <t>JKT-HPC012G-SMS</t>
  </si>
  <si>
    <t>1-year additional Jacket HPC Multi-GPU Software Maintenance Service for up to 12 GPUs</t>
  </si>
  <si>
    <t>JKT-HPC016G-SMS</t>
  </si>
  <si>
    <t>1-year additional Jacket HPC Multi-GPU Software Maintenance Service for up to 16 GPUs</t>
  </si>
  <si>
    <t>JKT-HPC032G-SMS</t>
  </si>
  <si>
    <t>1-year additional Jacket HPC Multi-GPU Software Maintenance Service for up to 32 GPUs</t>
  </si>
  <si>
    <t>JKT-HPC064G-SMS</t>
  </si>
  <si>
    <t>1-year additional Jacket HPC Multi-GPU Software Maintenance Service for up to 64 GPUs</t>
  </si>
  <si>
    <t>JKT-HPC128G-SMS</t>
  </si>
  <si>
    <t>1-year additional Jacket HPC Multi-GPU Software Maintenance Service for up to 128 GPUs</t>
  </si>
  <si>
    <t>JKT-HPC256G-SMS</t>
  </si>
  <si>
    <t>1-year additional Jacket HPC Multi-GPU Software Maintenance Service for up to 256 GPUs</t>
  </si>
  <si>
    <t>Phone Support Upgrade</t>
  </si>
  <si>
    <t>JKT-BASE-PHONE</t>
  </si>
  <si>
    <t>1-year Phone Jacket Base Support</t>
  </si>
  <si>
    <t>JKT-MGL002G-PHONE</t>
  </si>
  <si>
    <t>1-year Phone Jacket Multi-GPU Support for up to 2 GPUs</t>
  </si>
  <si>
    <t>JKT-MGL003G-PHONE</t>
  </si>
  <si>
    <t>1-year Phone Jacket Multi-GPU Support for up to 3 GPUs</t>
  </si>
  <si>
    <t>JKT-MGL004G-PHONE</t>
  </si>
  <si>
    <t>1-year Phone Jacket Multi-GPU Support for up to 4 GPUs</t>
  </si>
  <si>
    <t>JKT-MGL005G-PHONE</t>
  </si>
  <si>
    <t>1-year Phone Jacket Multi-GPU Support for up to 5 GPUs</t>
  </si>
  <si>
    <t>JKT-MGL006G-PHONE</t>
  </si>
  <si>
    <t>1-year Phone Jacket Multi-GPU Support for up to 6 GPUs</t>
  </si>
  <si>
    <t>JKT-MGL007G-PHONE</t>
  </si>
  <si>
    <t>1-year Phone Jacket Multi-GPU Support for up to 7 GPUs</t>
  </si>
  <si>
    <t>JKT-MGL008G-PHONE</t>
  </si>
  <si>
    <t>1-year Phone Jacket Multi-GPU Support for up to 8 GPUs</t>
  </si>
  <si>
    <t>JKT-HPC012G-PHONE</t>
  </si>
  <si>
    <t>1-year Phone Jacket HPC Multi-GPU Support for up to 12 GPUs</t>
  </si>
  <si>
    <t>JKT-HPC016G-PHONE</t>
  </si>
  <si>
    <t>1-year Phone Jacket HPC Multi-GPU Support for up to 16 GPUs</t>
  </si>
  <si>
    <t>JKT-HPC032G-PHONE</t>
  </si>
  <si>
    <t>1-year Phone Jacket HPC Multi-GPU Support for up to 32 GPUs</t>
  </si>
  <si>
    <t>JKT-HPC064G-PHONE</t>
  </si>
  <si>
    <t>1-year Phone Jacket HPC Multi-GPU Support for up to 64 GPUs</t>
  </si>
  <si>
    <t>JKT-HPC128G-PHONE</t>
  </si>
  <si>
    <t>1-year Phone Jacket HPC Multi-GPU Support for up to 128 GPUs</t>
  </si>
  <si>
    <t>JKT-HPC256G-PHONE</t>
  </si>
  <si>
    <t>1-year Phone Jacket HPC Multi-GPU Support for up to 256 GPUs</t>
  </si>
  <si>
    <t>Jacket Developer SDK</t>
  </si>
  <si>
    <t>Jacket Developer SDK licenses have additional SMS fees, as given below:</t>
  </si>
  <si>
    <t>JKT-SDK-PER</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</si>
  <si>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runtime optimizations</t>
  </si>
  <si>
    <t>JKT-SDK-SMS</t>
  </si>
  <si>
    <t>1-year maintenance for a JKT-DCSDK-PER upgraded license.</t>
  </si>
  <si>
    <t xml:space="preserve">JMC – Jacket MATLAB Compiler </t>
  </si>
  <si>
    <t>JKT-JMC-SMS</t>
  </si>
  <si>
    <t>1-year maintenance for a JKT-JMC-PER upgraded license.</t>
  </si>
  <si>
    <t xml:space="preserve">Developer Package </t>
  </si>
  <si>
    <t>JKT-DEVBUNDLE</t>
  </si>
  <si>
    <t>Developers Bundle includes; Base License of Jacket upgraded to 4 GPUs, SDK(Software Development Toolkit) and Jacket DLA(Double Precision Linear Algebra)</t>
  </si>
  <si>
    <t>JKT-DEVBUNDLE-SMS</t>
  </si>
  <si>
    <t>1-year additional Jacket Developer Bundle Support</t>
  </si>
  <si>
    <t>Concurrent Network License</t>
  </si>
  <si>
    <t>Price per key</t>
  </si>
  <si>
    <t>Concurrent Network License Simultaneous GPU Sessions (SGS) Upgrade</t>
  </si>
  <si>
    <t>Add’l. Price</t>
  </si>
  <si>
    <t>Upgrade to a base license to 2 simultaneous GPU sessions wherein multiple instances of MATLAB/Jacket can run concurrently on a single PC and each instance can control a separate GPU.</t>
  </si>
  <si>
    <t>JKT-CN03G-PER</t>
  </si>
  <si>
    <t>Upgrade to a base license to 3 simultaneous GPU sessions wherein multiple instances of MATLAB/Jacket can run concurrently on a single PC and each instance can control a separate GPU.</t>
  </si>
  <si>
    <t>JKT-CN04G-PER</t>
  </si>
  <si>
    <t>Upgrade to a base license to 4 simultaneous GPU sessions wherein multiple instances of MATLAB/Jacket can run concurrently on a single PC and each instance can control a separate GPU.</t>
  </si>
  <si>
    <t>Concurrent Network License  Software Maintenance Service (SMS)</t>
  </si>
  <si>
    <t>JKT-CN01G-SMS</t>
  </si>
  <si>
    <t xml:space="preserve">1-year maintenance for a JKT-CN01G-PER license, a Jacket license must be under current software maintenance. </t>
  </si>
  <si>
    <t>JKT-CN02G-SMS</t>
  </si>
  <si>
    <t xml:space="preserve">1-year maintenance for a JKT-CN02G-PER license, a Jacket license must be under current software maintenance. </t>
  </si>
  <si>
    <t>JKT-CN03G-SMS</t>
  </si>
  <si>
    <t xml:space="preserve">1-year maintenance for a JKT-CN03G-PER upgraded license  a Jacket license must be under current software maintenance. </t>
  </si>
  <si>
    <t>JKT-CN04G-SMS</t>
  </si>
  <si>
    <t xml:space="preserve">1-year maintenance for a JKT-CN04G-PER upgraded license  a Jacket license must be under current software maintenance. </t>
  </si>
  <si>
    <t>JKT-CN01G-PHONE</t>
  </si>
  <si>
    <t>1-year phone support for a JKT-CN01G-PER license</t>
  </si>
  <si>
    <t>JKT-CN02G-PHONE</t>
  </si>
  <si>
    <t>1-year phone support for a JKT-CN02G-PER license</t>
  </si>
  <si>
    <t>JKT-CN03G-PHONE</t>
  </si>
  <si>
    <t>1-year phone support for a JKT-CN03G-PER upgraded license</t>
  </si>
  <si>
    <t>JKT-CN04G-PHONE</t>
  </si>
  <si>
    <t>1-year phone support for a JKT-CN04G-PER upgraded license</t>
  </si>
  <si>
    <t>Concurrent Network License Developer SDK Upgrade</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</si>
  <si>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optimizations</t>
  </si>
  <si>
    <t>JKT-CNSDK-SMS</t>
  </si>
  <si>
    <t>1-year maintenance for a JKT-CNSDK-PER upgraded license.</t>
  </si>
  <si>
    <t xml:space="preserve">Additional Information Training and Consulting Services </t>
  </si>
  <si>
    <t>JKT-PHONE-1USR-1YR</t>
  </si>
  <si>
    <t>Phone for named user -Annual fee for one named user</t>
  </si>
  <si>
    <t>-</t>
  </si>
  <si>
    <t>JKT-PHONE-1USR-1YR-EDU</t>
  </si>
  <si>
    <t>Phone for named user - EDU     Annual fee for one named user</t>
  </si>
  <si>
    <t>JKT-ENTINSTALL-16G</t>
  </si>
  <si>
    <t>Enterprise Installation. Up to 16 GPUs   Does not include travel and expenses</t>
  </si>
  <si>
    <t>JKT-ENTINSTALL-64G</t>
  </si>
  <si>
    <t>Enterprise Installation. Up to 64 GPUs  Does not include travel and expenses</t>
  </si>
  <si>
    <t>JKT-ENTTRAIN-WEB</t>
  </si>
  <si>
    <t>Enterprise Training - Custom - WebEx</t>
  </si>
  <si>
    <t>JKT-ENTTRAIN-ONSITE</t>
  </si>
  <si>
    <t>Enterprise Training - Custom - Onsite    Does not include travel and expenses</t>
  </si>
  <si>
    <t>JKT-ENTTRAIN-WSHOP</t>
  </si>
  <si>
    <t>Onsite training workshop up-to 12 students  Does not include travel and expenses</t>
  </si>
  <si>
    <t>JKT-ENTTRAIN-WSHOP-ADD</t>
  </si>
  <si>
    <t>Workshop extra student    Does not include travel and expenses</t>
  </si>
  <si>
    <t>JKT-CONSULT-ASSESS</t>
  </si>
  <si>
    <t>Application consulting    Does not include travel and expenses</t>
  </si>
  <si>
    <t>JKT-CONSULT-1D</t>
  </si>
  <si>
    <t>One business day of consulting   Does not include travel and expenses</t>
  </si>
  <si>
    <t>JKT-CONSULT-1W</t>
  </si>
  <si>
    <t>One business week of consulting    Does not include travel and expenses</t>
  </si>
  <si>
    <t>Product Number</t>
  </si>
  <si>
    <t>Multiple GPU Options</t>
  </si>
  <si>
    <t>DLA – Jacket Double Precision Linear Algebra</t>
  </si>
  <si>
    <t>Jacket Double Precision Linear Algebra</t>
  </si>
  <si>
    <t>JKT-DLA-SMS</t>
  </si>
  <si>
    <t>1-year maintenance for a JKT-DLA-PER upgraded license.</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</si>
  <si>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</si>
  <si>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</si>
  <si>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</si>
  <si>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</si>
  <si>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</si>
  <si>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</si>
  <si>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</si>
  <si>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</si>
  <si>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</si>
  <si>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</si>
  <si>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</si>
  <si>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</si>
  <si>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</si>
  <si>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</si>
  <si>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</si>
  <si>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 xml:space="preserve">     - individual products next - Jacket Base, DLA, SDK and Compiler Option</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</si>
  <si>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</si>
  <si>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</si>
  <si>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</si>
  <si>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</si>
  <si>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</si>
  <si>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</si>
  <si>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</si>
  <si>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</si>
  <si>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</si>
  <si>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</si>
  <si>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</si>
  <si>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</si>
  <si>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</si>
  <si>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</si>
  <si>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</si>
  <si>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</si>
  <si>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</si>
  <si>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</si>
  <si>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</si>
  <si>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</si>
  <si>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</si>
  <si>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</si>
  <si>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</si>
  <si>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</si>
  <si>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</si>
  <si>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JKT-BASE-CN</t>
  </si>
  <si>
    <t>All HPC quotes need to be approved by Sales for Final Configuration</t>
  </si>
  <si>
    <t>Jacket SLA</t>
  </si>
  <si>
    <t>Sparse Linear Algebra</t>
  </si>
  <si>
    <t>SLA – Jacket Sparse Linear Algebra</t>
  </si>
  <si>
    <t>JKT-SLA-PER</t>
  </si>
  <si>
    <t>JKT-SLA-SMS</t>
  </si>
  <si>
    <t>1-year maintenance for a JKT-SLA-PER upgraded license.</t>
  </si>
  <si>
    <t>Jacket  Sparse Linear Algebra</t>
  </si>
  <si>
    <t>Perpetual vs. Subscription</t>
  </si>
  <si>
    <t>Jacket Price List</t>
  </si>
  <si>
    <t>Regular Price</t>
  </si>
  <si>
    <t>1-Yr</t>
  </si>
  <si>
    <t>Designated computer base licenses are perpetual, come with 1-year of maintenance, and include the ability to control a single GPU. License agreement is here:  http://accelereyes.com/eula_jacket</t>
  </si>
  <si>
    <t>0 - Commercial/Indvidual, Government/Research, 2 - Academic</t>
  </si>
  <si>
    <t>Last updated 5/31/2011</t>
  </si>
  <si>
    <r>
      <t xml:space="preserve">Select "Customer Type" - Commercial,Govt </t>
    </r>
    <r>
      <rPr>
        <b/>
        <sz val="18"/>
        <color theme="1"/>
        <rFont val="Arial"/>
        <family val="2"/>
      </rPr>
      <t xml:space="preserve">/ </t>
    </r>
    <r>
      <rPr>
        <b/>
        <sz val="14"/>
        <color theme="1"/>
        <rFont val="Arial"/>
        <family val="2"/>
      </rPr>
      <t>Academic(0/2)</t>
    </r>
  </si>
  <si>
    <t>Standard</t>
  </si>
  <si>
    <t>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</si>
  <si>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5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</si>
  <si>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10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</si>
  <si>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 xml:space="preserve">Concurrent Network License of Jacket.  You can make Jacket available to anyone with access to your network via Jacket’s FLEXNET license manager. Concurrent keys are used to control access. Users check out a key when they use Jacket functions. When all the keys for a particular product are checked out, the license manager denies further requests. You can install 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http://www.accelereyes.com/eula </t>
  </si>
  <si>
    <t>JMC (for license free deployment of Jacket code via the MATLAB compiler)</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</si>
</sst>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8">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1"/>
      <color rgb="FF000000"/>
      <name val="Calibri"/>
      <family val="2"/>
      <scheme val="minor"/>
    </font>
    <font>
      <b/>
      <sz val="11"/>
      <color rgb="FF000000"/>
      <name val="Calibri"/>
      <family val="2"/>
      <scheme val="minor"/>
    </font>
    <font>
      <sz val="10"/>
      <name val="Calibri"/>
      <family val="2"/>
      <scheme val="minor"/>
    </font>
    <font>
      <sz val="11"/>
      <name val="Calibri"/>
      <family val="2"/>
      <scheme val="minor"/>
    </font>
    <font>
      <b/>
      <sz val="11"/>
      <name val="Calibri"/>
      <family val="2"/>
      <scheme val="minor"/>
    </font>
    <font>
      <b/>
      <sz val="18"/>
      <color theme="1"/>
      <name val="Arial"/>
      <family val="2"/>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21">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9" fontId="0" fillId="0" borderId="0" xfId="0" applyNumberFormat="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25" fillId="14" borderId="0" xfId="1" applyFont="1" applyFill="1"/>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25" fillId="0" borderId="0" xfId="1" applyFont="1" applyAlignment="1">
      <alignment horizontal="left"/>
    </xf>
    <xf numFmtId="165" fontId="29" fillId="0" borderId="4" xfId="1" applyNumberFormat="1" applyFont="1" applyFill="1" applyBorder="1" applyAlignment="1">
      <alignment horizontal="center" vertical="center" wrapText="1"/>
    </xf>
    <xf numFmtId="0" fontId="0" fillId="0" borderId="0" xfId="0" applyFont="1" applyAlignment="1">
      <alignment horizontal="center"/>
    </xf>
    <xf numFmtId="0" fontId="0" fillId="4" borderId="0" xfId="0" applyFont="1" applyFill="1"/>
    <xf numFmtId="0" fontId="42" fillId="0" borderId="0" xfId="0" applyFont="1" applyAlignment="1">
      <alignment vertical="top" wrapText="1"/>
    </xf>
    <xf numFmtId="0" fontId="0" fillId="7" borderId="0" xfId="0" applyFont="1" applyFill="1"/>
    <xf numFmtId="0" fontId="42" fillId="7" borderId="0" xfId="0" applyFont="1" applyFill="1" applyAlignment="1">
      <alignment vertical="top" wrapText="1"/>
    </xf>
    <xf numFmtId="164" fontId="0" fillId="7" borderId="0" xfId="0" applyNumberFormat="1" applyFont="1" applyFill="1"/>
    <xf numFmtId="165" fontId="0" fillId="7" borderId="0" xfId="0" applyNumberFormat="1" applyFont="1" applyFill="1"/>
    <xf numFmtId="0" fontId="43" fillId="4" borderId="0" xfId="0" applyFont="1" applyFill="1" applyAlignment="1">
      <alignment vertical="top" wrapText="1"/>
    </xf>
    <xf numFmtId="0" fontId="42" fillId="7" borderId="0" xfId="0" applyFont="1" applyFill="1" applyAlignment="1">
      <alignment vertical="top"/>
    </xf>
    <xf numFmtId="0" fontId="42" fillId="0" borderId="0" xfId="0" applyFont="1" applyFill="1" applyAlignment="1">
      <alignment vertical="top"/>
    </xf>
    <xf numFmtId="9" fontId="0" fillId="7" borderId="0" xfId="0" applyNumberFormat="1" applyFont="1" applyFill="1"/>
    <xf numFmtId="0" fontId="45" fillId="7" borderId="0" xfId="1" applyFont="1" applyFill="1" applyBorder="1" applyAlignment="1">
      <alignment horizontal="left" vertical="center" wrapText="1"/>
    </xf>
    <xf numFmtId="0" fontId="0" fillId="7" borderId="0" xfId="0" applyFont="1" applyFill="1" applyBorder="1"/>
    <xf numFmtId="0" fontId="0" fillId="0" borderId="0" xfId="0" applyFont="1" applyBorder="1"/>
    <xf numFmtId="0" fontId="46" fillId="4" borderId="0" xfId="1" applyFont="1" applyFill="1" applyBorder="1" applyAlignment="1">
      <alignment horizontal="left" vertical="center" wrapText="1"/>
    </xf>
    <xf numFmtId="0" fontId="45" fillId="0" borderId="0" xfId="1" applyFont="1" applyFill="1" applyBorder="1" applyAlignment="1">
      <alignment horizontal="left" vertical="center" wrapText="1"/>
    </xf>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0" fillId="18" borderId="0" xfId="0" applyFont="1" applyFill="1"/>
    <xf numFmtId="0" fontId="42"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5" fillId="18" borderId="0" xfId="1" applyFont="1" applyFill="1" applyBorder="1" applyAlignment="1">
      <alignment vertical="center" wrapText="1"/>
    </xf>
    <xf numFmtId="0" fontId="45"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2" fillId="18" borderId="0" xfId="0" applyFont="1" applyFill="1" applyAlignment="1">
      <alignment vertical="top"/>
    </xf>
    <xf numFmtId="0" fontId="45" fillId="18" borderId="0" xfId="1" applyFont="1" applyFill="1" applyBorder="1" applyAlignment="1">
      <alignment horizontal="left" vertical="center" wrapText="1"/>
    </xf>
    <xf numFmtId="9" fontId="0" fillId="18" borderId="0" xfId="0" applyNumberFormat="1" applyFont="1" applyFill="1"/>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4" fillId="14" borderId="0" xfId="1" applyFont="1" applyFill="1" applyBorder="1" applyAlignment="1">
      <alignment horizontal="left"/>
    </xf>
    <xf numFmtId="0" fontId="9" fillId="0" borderId="0" xfId="1" applyBorder="1" applyAlignment="1">
      <alignment horizontal="left"/>
    </xf>
    <xf numFmtId="0" fontId="25" fillId="0" borderId="0" xfId="1" applyFont="1" applyAlignment="1">
      <alignment horizontal="left"/>
    </xf>
    <xf numFmtId="0" fontId="26" fillId="9" borderId="0" xfId="1" applyFont="1" applyFill="1" applyBorder="1" applyAlignment="1">
      <alignment horizontal="center" vertical="center"/>
    </xf>
    <xf numFmtId="0" fontId="0" fillId="0" borderId="0" xfId="0" applyAlignment="1"/>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23" fillId="14" borderId="0" xfId="1" applyFont="1" applyFill="1" applyBorder="1" applyAlignment="1">
      <alignment horizontal="center" vertical="center"/>
    </xf>
    <xf numFmtId="0" fontId="0" fillId="0" borderId="0" xfId="0" applyAlignment="1">
      <alignment horizontal="center" vertical="center"/>
    </xf>
    <xf numFmtId="0" fontId="19" fillId="14" borderId="0" xfId="1" applyFont="1" applyFill="1" applyBorder="1" applyAlignment="1">
      <alignment horizontal="center" vertical="center"/>
    </xf>
    <xf numFmtId="0" fontId="29" fillId="0" borderId="0" xfId="1" applyFont="1" applyAlignment="1">
      <alignment horizontal="justify"/>
    </xf>
    <xf numFmtId="0" fontId="9" fillId="0" borderId="0" xfId="1" applyAlignment="1"/>
    <xf numFmtId="0" fontId="27" fillId="11" borderId="13" xfId="1" applyFont="1" applyFill="1" applyBorder="1" applyAlignment="1">
      <alignment horizontal="center" vertical="center" wrapText="1"/>
    </xf>
    <xf numFmtId="0" fontId="0" fillId="0" borderId="12" xfId="0" applyBorder="1" applyAlignment="1"/>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44" fillId="0" borderId="0" xfId="1" applyFont="1" applyFill="1" applyBorder="1" applyAlignment="1">
      <alignment vertical="center" wrapText="1"/>
    </xf>
    <xf numFmtId="0" fontId="13" fillId="0" borderId="0" xfId="0" applyFont="1" applyFill="1" applyBorder="1" applyAlignment="1"/>
    <xf numFmtId="0" fontId="14" fillId="0" borderId="0" xfId="0" applyFont="1" applyAlignment="1">
      <alignment horizontal="left" vertical="center" indent="2"/>
    </xf>
    <xf numFmtId="0" fontId="0" fillId="0" borderId="0" xfId="0" applyAlignment="1">
      <alignment horizontal="left" vertical="center" indent="2"/>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607232</xdr:colOff>
      <xdr:row>84</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609601</xdr:colOff>
      <xdr:row>27</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2083607</xdr:colOff>
      <xdr:row>86</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2047876</xdr:colOff>
      <xdr:row>28</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84</xdr:row>
      <xdr:rowOff>180975</xdr:rowOff>
    </xdr:from>
    <xdr:to>
      <xdr:col>4</xdr:col>
      <xdr:colOff>18166</xdr:colOff>
      <xdr:row>85</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26</xdr:row>
      <xdr:rowOff>171450</xdr:rowOff>
    </xdr:from>
    <xdr:to>
      <xdr:col>3</xdr:col>
      <xdr:colOff>923925</xdr:colOff>
      <xdr:row>28</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619125</xdr:colOff>
      <xdr:row>0</xdr:row>
      <xdr:rowOff>66675</xdr:rowOff>
    </xdr:from>
    <xdr:to>
      <xdr:col>5</xdr:col>
      <xdr:colOff>1790703</xdr:colOff>
      <xdr:row>0</xdr:row>
      <xdr:rowOff>551606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7296150" y="66675"/>
          <a:ext cx="1171578" cy="484931"/>
        </a:xfrm>
        <a:prstGeom prst="rect">
          <a:avLst/>
        </a:prstGeom>
      </xdr:spPr>
    </xdr:pic>
    <xdr:clientData/>
  </xdr:twoCellAnchor>
  <xdr:twoCellAnchor editAs="oneCell">
    <xdr:from>
      <xdr:col>5</xdr:col>
      <xdr:colOff>409574</xdr:colOff>
      <xdr:row>15</xdr:row>
      <xdr:rowOff>6095</xdr:rowOff>
    </xdr:from>
    <xdr:to>
      <xdr:col>6</xdr:col>
      <xdr:colOff>19049</xdr:colOff>
      <xdr:row>21</xdr:row>
      <xdr:rowOff>9524</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7153274" y="3425570"/>
          <a:ext cx="1457325" cy="11464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5" sqref="D5"/>
    </sheetView>
  </sheetViews>
  <sheetFormatPr defaultRowHeight="15"/>
  <cols>
    <col min="2" max="2" width="64" customWidth="1"/>
    <col min="4" max="4" width="62.140625" customWidth="1"/>
  </cols>
  <sheetData>
    <row r="1" spans="1:4" ht="23.25">
      <c r="B1" s="147" t="s">
        <v>256</v>
      </c>
    </row>
    <row r="2" spans="1:4">
      <c r="B2" s="146"/>
    </row>
    <row r="3" spans="1:4">
      <c r="A3">
        <v>1</v>
      </c>
      <c r="B3" t="s">
        <v>255</v>
      </c>
    </row>
    <row r="4" spans="1:4" ht="21">
      <c r="A4">
        <v>2</v>
      </c>
      <c r="B4" s="26" t="s">
        <v>257</v>
      </c>
      <c r="C4" s="23"/>
    </row>
    <row r="5" spans="1:4">
      <c r="A5">
        <v>3</v>
      </c>
      <c r="B5" t="s">
        <v>259</v>
      </c>
      <c r="D5" t="s">
        <v>301</v>
      </c>
    </row>
    <row r="6" spans="1:4">
      <c r="A6">
        <v>4</v>
      </c>
      <c r="B6" t="s">
        <v>258</v>
      </c>
    </row>
    <row r="7" spans="1:4">
      <c r="B7" t="s">
        <v>260</v>
      </c>
    </row>
    <row r="8" spans="1:4">
      <c r="B8" t="s">
        <v>261</v>
      </c>
    </row>
    <row r="9" spans="1:4">
      <c r="A9">
        <v>5</v>
      </c>
      <c r="B9" t="s">
        <v>262</v>
      </c>
    </row>
    <row r="10" spans="1:4">
      <c r="B10" t="s">
        <v>269</v>
      </c>
    </row>
    <row r="11" spans="1:4">
      <c r="A11" s="148"/>
      <c r="B11" t="s">
        <v>285</v>
      </c>
    </row>
    <row r="12" spans="1:4">
      <c r="B12" t="s">
        <v>263</v>
      </c>
    </row>
    <row r="13" spans="1:4">
      <c r="B13" t="s">
        <v>264</v>
      </c>
    </row>
    <row r="14" spans="1:4">
      <c r="A14">
        <v>6</v>
      </c>
      <c r="B14" t="s">
        <v>265</v>
      </c>
    </row>
    <row r="15" spans="1:4">
      <c r="A15" s="148"/>
      <c r="B15" t="s">
        <v>286</v>
      </c>
      <c r="D15" s="38" t="s">
        <v>288</v>
      </c>
    </row>
    <row r="16" spans="1:4">
      <c r="A16">
        <v>7</v>
      </c>
      <c r="B16" t="s">
        <v>266</v>
      </c>
      <c r="D16" t="s">
        <v>268</v>
      </c>
    </row>
    <row r="17" spans="1:4">
      <c r="A17">
        <v>8</v>
      </c>
      <c r="B17" t="s">
        <v>267</v>
      </c>
      <c r="D17" t="s">
        <v>268</v>
      </c>
    </row>
    <row r="18" spans="1:4">
      <c r="A18">
        <v>9</v>
      </c>
      <c r="B18" t="s">
        <v>270</v>
      </c>
      <c r="D18" t="s">
        <v>268</v>
      </c>
    </row>
    <row r="19" spans="1:4">
      <c r="A19">
        <v>10</v>
      </c>
      <c r="B19" t="s">
        <v>271</v>
      </c>
    </row>
    <row r="20" spans="1:4">
      <c r="B20" t="s">
        <v>272</v>
      </c>
    </row>
    <row r="21" spans="1:4">
      <c r="A21">
        <v>11</v>
      </c>
      <c r="B21" t="s">
        <v>273</v>
      </c>
    </row>
    <row r="22" spans="1:4">
      <c r="B22" t="s">
        <v>274</v>
      </c>
    </row>
    <row r="23" spans="1:4">
      <c r="B23" t="s">
        <v>275</v>
      </c>
    </row>
    <row r="24" spans="1:4">
      <c r="B24" t="s">
        <v>276</v>
      </c>
    </row>
    <row r="25" spans="1:4">
      <c r="B25" t="s">
        <v>277</v>
      </c>
    </row>
    <row r="26" spans="1:4">
      <c r="B26" t="s">
        <v>278</v>
      </c>
    </row>
    <row r="27" spans="1:4">
      <c r="B27" t="s">
        <v>279</v>
      </c>
    </row>
    <row r="28" spans="1:4">
      <c r="B28" t="s">
        <v>280</v>
      </c>
    </row>
    <row r="29" spans="1:4">
      <c r="B29" t="s">
        <v>281</v>
      </c>
    </row>
    <row r="30" spans="1:4">
      <c r="B30" t="s">
        <v>284</v>
      </c>
    </row>
    <row r="31" spans="1:4">
      <c r="B31" t="s">
        <v>282</v>
      </c>
    </row>
    <row r="32" spans="1:4">
      <c r="B32" t="s">
        <v>283</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40"/>
  <sheetViews>
    <sheetView tabSelected="1" workbookViewId="0">
      <selection activeCell="L18" sqref="L18"/>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2" customFormat="1" ht="23.25" customHeight="1">
      <c r="A1" s="197" t="s">
        <v>303</v>
      </c>
      <c r="B1" s="198"/>
      <c r="C1" s="198"/>
      <c r="D1" s="198"/>
      <c r="F1" s="191">
        <v>0</v>
      </c>
      <c r="G1" s="192"/>
      <c r="H1" s="193"/>
    </row>
    <row r="2" spans="1:9" s="32" customFormat="1">
      <c r="A2" s="33"/>
      <c r="B2" s="34"/>
      <c r="F2" s="35" t="s">
        <v>304</v>
      </c>
      <c r="G2" s="35" t="s">
        <v>58</v>
      </c>
      <c r="H2" s="35" t="s">
        <v>56</v>
      </c>
    </row>
    <row r="3" spans="1:9" s="5" customFormat="1">
      <c r="A3" s="1"/>
      <c r="B3" s="2" t="s">
        <v>0</v>
      </c>
      <c r="C3" s="3" t="s">
        <v>1</v>
      </c>
      <c r="D3" s="1" t="s">
        <v>2</v>
      </c>
      <c r="E3" s="4"/>
      <c r="F3" s="195" t="s">
        <v>55</v>
      </c>
      <c r="G3" s="196"/>
      <c r="H3" s="196"/>
    </row>
    <row r="4" spans="1:9">
      <c r="A4" t="s">
        <v>3</v>
      </c>
      <c r="B4" s="6" t="s">
        <v>4</v>
      </c>
      <c r="C4" s="7" t="s">
        <v>5</v>
      </c>
      <c r="D4" s="8">
        <v>999</v>
      </c>
      <c r="F4" s="41">
        <v>0</v>
      </c>
      <c r="G4" s="41">
        <v>0</v>
      </c>
      <c r="H4" s="41">
        <v>0.65</v>
      </c>
    </row>
    <row r="5" spans="1:9" hidden="1" outlineLevel="1">
      <c r="A5" t="s">
        <v>35</v>
      </c>
      <c r="B5" s="6" t="s">
        <v>6</v>
      </c>
      <c r="C5" s="7" t="s">
        <v>5</v>
      </c>
      <c r="D5" s="8">
        <v>395</v>
      </c>
    </row>
    <row r="6" spans="1:9" hidden="1" outlineLevel="1">
      <c r="A6" t="s">
        <v>289</v>
      </c>
      <c r="B6" s="26" t="s">
        <v>290</v>
      </c>
      <c r="C6" s="7" t="s">
        <v>5</v>
      </c>
      <c r="D6" s="8">
        <v>395</v>
      </c>
    </row>
    <row r="7" spans="1:9" hidden="1" outlineLevel="1">
      <c r="A7" t="s">
        <v>7</v>
      </c>
      <c r="B7" s="6" t="s">
        <v>8</v>
      </c>
      <c r="C7" s="7" t="s">
        <v>5</v>
      </c>
      <c r="D7" s="8">
        <v>995</v>
      </c>
      <c r="I7" s="28"/>
    </row>
    <row r="8" spans="1:9" hidden="1" outlineLevel="1">
      <c r="A8" t="s">
        <v>9</v>
      </c>
      <c r="B8" s="6" t="s">
        <v>10</v>
      </c>
      <c r="C8" s="7" t="s">
        <v>5</v>
      </c>
      <c r="D8" s="8">
        <v>3950</v>
      </c>
    </row>
    <row r="9" spans="1:9" hidden="1" outlineLevel="1">
      <c r="A9" t="s">
        <v>11</v>
      </c>
      <c r="B9" s="6" t="s">
        <v>12</v>
      </c>
      <c r="C9" s="7" t="s">
        <v>13</v>
      </c>
      <c r="D9" s="8">
        <v>750</v>
      </c>
    </row>
    <row r="10" spans="1:9" hidden="1" outlineLevel="1">
      <c r="A10" t="s">
        <v>14</v>
      </c>
      <c r="B10" s="6" t="s">
        <v>15</v>
      </c>
      <c r="C10" s="7" t="s">
        <v>13</v>
      </c>
      <c r="D10" s="8">
        <v>500</v>
      </c>
    </row>
    <row r="11" spans="1:9" ht="15.75" hidden="1" outlineLevel="1">
      <c r="A11" s="194" t="s">
        <v>29</v>
      </c>
      <c r="B11" s="194"/>
      <c r="C11" s="194"/>
      <c r="D11" s="194"/>
    </row>
    <row r="12" spans="1:9" hidden="1" outlineLevel="1">
      <c r="A12" s="26" t="s">
        <v>24</v>
      </c>
      <c r="B12" s="26" t="s">
        <v>57</v>
      </c>
      <c r="C12" s="40" t="s">
        <v>5</v>
      </c>
      <c r="D12" s="39">
        <f>(D4+D5+D7+(3*D9))*0.8</f>
        <v>3711.2000000000003</v>
      </c>
    </row>
    <row r="13" spans="1:9" hidden="1" outlineLevel="1">
      <c r="A13" s="26" t="s">
        <v>25</v>
      </c>
      <c r="B13" s="26" t="s">
        <v>27</v>
      </c>
      <c r="C13" s="40" t="s">
        <v>5</v>
      </c>
      <c r="D13" s="39">
        <f>((D4*5)*0.8)</f>
        <v>3996</v>
      </c>
    </row>
    <row r="14" spans="1:9" hidden="1" outlineLevel="1">
      <c r="A14" s="26" t="s">
        <v>26</v>
      </c>
      <c r="B14" s="26" t="s">
        <v>28</v>
      </c>
      <c r="C14" s="40" t="s">
        <v>5</v>
      </c>
      <c r="D14" s="39">
        <f>((D4*10)*0.8)</f>
        <v>7992</v>
      </c>
    </row>
    <row r="15" spans="1:9" collapsed="1">
      <c r="A15" s="189" t="s">
        <v>23</v>
      </c>
      <c r="B15" s="190"/>
      <c r="C15" s="190"/>
      <c r="D15" s="190"/>
      <c r="E15" s="190"/>
      <c r="F15" s="36"/>
      <c r="G15" s="36"/>
      <c r="H15" s="36"/>
    </row>
    <row r="16" spans="1:9">
      <c r="A16" s="9"/>
      <c r="B16" s="9"/>
      <c r="C16" s="10" t="s">
        <v>16</v>
      </c>
      <c r="D16" s="10" t="s">
        <v>61</v>
      </c>
      <c r="E16" s="9"/>
      <c r="F16" s="9"/>
      <c r="G16" s="9"/>
      <c r="H16" s="9"/>
    </row>
    <row r="17" spans="1:8" ht="15.75">
      <c r="A17" s="194" t="s">
        <v>29</v>
      </c>
      <c r="B17" s="194"/>
      <c r="C17" s="194"/>
      <c r="D17" s="194"/>
      <c r="E17" s="37"/>
      <c r="F17" s="30"/>
      <c r="G17" s="30"/>
      <c r="H17" s="30"/>
    </row>
    <row r="18" spans="1:8">
      <c r="A18" s="21" t="s">
        <v>24</v>
      </c>
      <c r="B18" s="21" t="s">
        <v>57</v>
      </c>
      <c r="C18" s="149">
        <v>0</v>
      </c>
      <c r="D18" s="22">
        <f>C18*D12</f>
        <v>0</v>
      </c>
      <c r="E18" s="21"/>
      <c r="F18" s="22">
        <f>$D$12*$C$18</f>
        <v>0</v>
      </c>
      <c r="G18" s="22">
        <f>($D$12*$C$18)*(1-G4)</f>
        <v>0</v>
      </c>
      <c r="H18" s="22">
        <f>($D$12*$C$18)*(1-H4)</f>
        <v>0</v>
      </c>
    </row>
    <row r="19" spans="1:8">
      <c r="A19" s="21" t="s">
        <v>25</v>
      </c>
      <c r="B19" s="21" t="s">
        <v>27</v>
      </c>
      <c r="C19" s="149">
        <v>0</v>
      </c>
      <c r="D19" s="22">
        <f>C19*D13</f>
        <v>0</v>
      </c>
      <c r="E19" s="21"/>
      <c r="F19" s="22">
        <f>$D$13*$C$19</f>
        <v>0</v>
      </c>
      <c r="G19" s="22">
        <f>($D$13*$C$19)*(1-G4)</f>
        <v>0</v>
      </c>
      <c r="H19" s="22">
        <f>($D$13*$C$19)*(1-H4)</f>
        <v>0</v>
      </c>
    </row>
    <row r="20" spans="1:8">
      <c r="A20" s="21" t="s">
        <v>26</v>
      </c>
      <c r="B20" s="21" t="s">
        <v>28</v>
      </c>
      <c r="C20" s="149">
        <v>0</v>
      </c>
      <c r="D20" s="22">
        <f>C20*D14</f>
        <v>0</v>
      </c>
      <c r="E20" s="21"/>
      <c r="F20" s="22">
        <f>$D$14*$C$20</f>
        <v>0</v>
      </c>
      <c r="G20" s="22">
        <f>($D$14*$C$20)*(1-G4)</f>
        <v>0</v>
      </c>
      <c r="H20" s="22">
        <f>($D$14*$C$20)*(1-H4)</f>
        <v>0</v>
      </c>
    </row>
    <row r="21" spans="1:8" ht="15.75">
      <c r="A21" s="194" t="s">
        <v>59</v>
      </c>
      <c r="B21" s="194"/>
      <c r="C21" s="194"/>
      <c r="D21" s="194"/>
      <c r="E21" s="37"/>
      <c r="F21" s="30"/>
      <c r="G21" s="30"/>
      <c r="H21" s="30"/>
    </row>
    <row r="22" spans="1:8">
      <c r="A22" s="9" t="s">
        <v>3</v>
      </c>
      <c r="B22" s="20" t="s">
        <v>4</v>
      </c>
      <c r="C22" s="149">
        <v>1</v>
      </c>
      <c r="D22" s="12">
        <f t="shared" ref="D22:D27" si="0">D4*C22</f>
        <v>999</v>
      </c>
      <c r="E22" s="9"/>
      <c r="F22" s="12">
        <f>$D$4*$C$22</f>
        <v>999</v>
      </c>
      <c r="G22" s="12">
        <f>$D$4*$C$22</f>
        <v>999</v>
      </c>
      <c r="H22" s="12">
        <f>IF(C22&gt;0,($D$4*$C$22+C22)*(1-H4),0)</f>
        <v>350</v>
      </c>
    </row>
    <row r="23" spans="1:8">
      <c r="A23" s="9" t="s">
        <v>35</v>
      </c>
      <c r="B23" s="20" t="s">
        <v>46</v>
      </c>
      <c r="C23" s="149">
        <v>0</v>
      </c>
      <c r="D23" s="12">
        <f t="shared" si="0"/>
        <v>0</v>
      </c>
      <c r="E23" s="9"/>
      <c r="F23" s="12">
        <f>$D$5*$C$23</f>
        <v>0</v>
      </c>
      <c r="G23" s="12">
        <f>($D$5*$C$23)*(1-G4)</f>
        <v>0</v>
      </c>
      <c r="H23" s="12">
        <f>($D$5*$C$23)*(1-H4)</f>
        <v>0</v>
      </c>
    </row>
    <row r="24" spans="1:8">
      <c r="A24" s="9" t="s">
        <v>289</v>
      </c>
      <c r="B24" s="9" t="s">
        <v>290</v>
      </c>
      <c r="C24" s="149">
        <v>0</v>
      </c>
      <c r="D24" s="12">
        <f t="shared" si="0"/>
        <v>0</v>
      </c>
      <c r="E24" s="9"/>
      <c r="F24" s="12">
        <f>$D$6*$C$24</f>
        <v>0</v>
      </c>
      <c r="G24" s="12">
        <f>($D$6*$C$24)*(1-G4)</f>
        <v>0</v>
      </c>
      <c r="H24" s="12">
        <f>($D$6*$C$24)*(1-H4)</f>
        <v>0</v>
      </c>
    </row>
    <row r="25" spans="1:8">
      <c r="A25" s="9" t="s">
        <v>7</v>
      </c>
      <c r="B25" s="20" t="s">
        <v>8</v>
      </c>
      <c r="C25" s="149">
        <v>0</v>
      </c>
      <c r="D25" s="12">
        <f t="shared" si="0"/>
        <v>0</v>
      </c>
      <c r="E25" s="9"/>
      <c r="F25" s="12">
        <f>$D$7*$C$25</f>
        <v>0</v>
      </c>
      <c r="G25" s="12">
        <f>($D$7*$C$25)*(1-G4)</f>
        <v>0</v>
      </c>
      <c r="H25" s="12">
        <f>($D$7*$C$25)*(1-H4)</f>
        <v>0</v>
      </c>
    </row>
    <row r="26" spans="1:8">
      <c r="A26" s="9" t="s">
        <v>9</v>
      </c>
      <c r="B26" s="20" t="s">
        <v>10</v>
      </c>
      <c r="C26" s="149">
        <v>0</v>
      </c>
      <c r="D26" s="12">
        <f t="shared" si="0"/>
        <v>0</v>
      </c>
      <c r="E26" s="9"/>
      <c r="F26" s="12">
        <f>$D$8*$C$26</f>
        <v>0</v>
      </c>
      <c r="G26" s="12">
        <f>($D$8*$C$26)*(1-G4)</f>
        <v>0</v>
      </c>
      <c r="H26" s="12">
        <f>($D$8*$C$26)*(1-H4)</f>
        <v>0</v>
      </c>
    </row>
    <row r="27" spans="1:8">
      <c r="A27" s="9" t="s">
        <v>11</v>
      </c>
      <c r="B27" s="20" t="s">
        <v>12</v>
      </c>
      <c r="C27" s="10">
        <f>IF(C28=0,0,C28-1)+IF(C29=0,0,C29-1)+IF(C30=0,0,C30-1)+IF(C31=0,0,C31-1)+IF(C32=0,0,C32-1)</f>
        <v>0</v>
      </c>
      <c r="D27" s="12">
        <f t="shared" si="0"/>
        <v>0</v>
      </c>
      <c r="E27" s="9"/>
      <c r="F27" s="12">
        <f>($D$9*$C$27)*(1-E10)</f>
        <v>0</v>
      </c>
      <c r="G27" s="12">
        <f>($D$9*$C$27)*(1-G4)</f>
        <v>0</v>
      </c>
      <c r="H27" s="12">
        <f>($D$9*$C$27)*(1-H4)</f>
        <v>0</v>
      </c>
    </row>
    <row r="28" spans="1:8">
      <c r="A28" s="9"/>
      <c r="B28" s="20" t="s">
        <v>246</v>
      </c>
      <c r="C28" s="149">
        <v>0</v>
      </c>
      <c r="D28" s="155">
        <f>IF(AND('Configure Products'!C22=0,'Configure Products'!C19=0,'Configure Products'!C20=0),0,IF(C28=0,0,$D$9*(C28-1)))</f>
        <v>0</v>
      </c>
      <c r="E28" s="156"/>
      <c r="F28" s="155">
        <f>D28</f>
        <v>0</v>
      </c>
      <c r="G28" s="155">
        <f>D28*(1-$G$4)</f>
        <v>0</v>
      </c>
      <c r="H28" s="155">
        <f>D28*(1-$H$4)</f>
        <v>0</v>
      </c>
    </row>
    <row r="29" spans="1:8">
      <c r="A29" s="9"/>
      <c r="B29" s="20" t="s">
        <v>247</v>
      </c>
      <c r="C29" s="149">
        <v>0</v>
      </c>
      <c r="D29" s="155">
        <f>IF(AND('Configure Products'!C22=0,'Configure Products'!C19=0,'Configure Products'!C20=0),0,IF(C29=0,0,$D$9*(C29-1)))</f>
        <v>0</v>
      </c>
      <c r="E29" s="156"/>
      <c r="F29" s="155">
        <f t="shared" ref="F29:F32" si="1">D29</f>
        <v>0</v>
      </c>
      <c r="G29" s="155">
        <f t="shared" ref="G29:G32" si="2">D29*(1-$G$4)</f>
        <v>0</v>
      </c>
      <c r="H29" s="155">
        <f t="shared" ref="H29:H32" si="3">D29*(1-$H$4)</f>
        <v>0</v>
      </c>
    </row>
    <row r="30" spans="1:8">
      <c r="A30" s="9"/>
      <c r="B30" s="20" t="s">
        <v>248</v>
      </c>
      <c r="C30" s="149">
        <v>0</v>
      </c>
      <c r="D30" s="155">
        <f>IF(AND('Configure Products'!C22=0,'Configure Products'!C19=0,'Configure Products'!C20=0),0,IF(C30=0,0,$D$9*(C30-1)))</f>
        <v>0</v>
      </c>
      <c r="E30" s="156"/>
      <c r="F30" s="155">
        <f t="shared" si="1"/>
        <v>0</v>
      </c>
      <c r="G30" s="155">
        <f t="shared" si="2"/>
        <v>0</v>
      </c>
      <c r="H30" s="155">
        <f t="shared" si="3"/>
        <v>0</v>
      </c>
    </row>
    <row r="31" spans="1:8">
      <c r="A31" s="9"/>
      <c r="B31" s="20" t="s">
        <v>249</v>
      </c>
      <c r="C31" s="149">
        <v>0</v>
      </c>
      <c r="D31" s="155">
        <f>IF(AND('Configure Products'!C22=0,'Configure Products'!C19=0,'Configure Products'!C20=0),0,IF(C31=0,0,$D$9*(C31-1)))</f>
        <v>0</v>
      </c>
      <c r="E31" s="156"/>
      <c r="F31" s="155">
        <f t="shared" si="1"/>
        <v>0</v>
      </c>
      <c r="G31" s="155">
        <f t="shared" si="2"/>
        <v>0</v>
      </c>
      <c r="H31" s="155">
        <f t="shared" si="3"/>
        <v>0</v>
      </c>
    </row>
    <row r="32" spans="1:8">
      <c r="A32" s="9"/>
      <c r="B32" s="20" t="s">
        <v>250</v>
      </c>
      <c r="C32" s="149">
        <v>0</v>
      </c>
      <c r="D32" s="155">
        <f>IF(AND('Configure Products'!C22=0,'Configure Products'!C19=0,'Configure Products'!C20=0),0,IF(C32=0,0,$D$9*(C32-1)))</f>
        <v>0</v>
      </c>
      <c r="E32" s="156"/>
      <c r="F32" s="155">
        <f t="shared" si="1"/>
        <v>0</v>
      </c>
      <c r="G32" s="155">
        <f t="shared" si="2"/>
        <v>0</v>
      </c>
      <c r="H32" s="155">
        <f t="shared" si="3"/>
        <v>0</v>
      </c>
    </row>
    <row r="33" spans="1:8">
      <c r="A33" s="9" t="s">
        <v>14</v>
      </c>
      <c r="B33" s="20" t="s">
        <v>15</v>
      </c>
      <c r="C33" s="149">
        <v>0</v>
      </c>
      <c r="D33" s="12">
        <f>IF(C33=0,0,D10*(C33-1))</f>
        <v>0</v>
      </c>
      <c r="E33" s="9"/>
      <c r="F33" s="12">
        <f>D33</f>
        <v>0</v>
      </c>
      <c r="G33" s="12">
        <f>D33*(1-G4)</f>
        <v>0</v>
      </c>
      <c r="H33" s="12">
        <f>D33*(1-H4)</f>
        <v>0</v>
      </c>
    </row>
    <row r="34" spans="1:8" s="38" customFormat="1">
      <c r="A34" s="152"/>
      <c r="B34" s="152" t="s">
        <v>60</v>
      </c>
      <c r="C34" s="153"/>
      <c r="D34" s="154">
        <f>SUM(D18:D27)+D33</f>
        <v>999</v>
      </c>
      <c r="E34" s="152"/>
      <c r="F34" s="154">
        <f>SUM(F18:F27)+F33</f>
        <v>999</v>
      </c>
      <c r="G34" s="154">
        <f>SUM(G18:G27)+G33</f>
        <v>999</v>
      </c>
      <c r="H34" s="154">
        <f>SUM(H18:H27)+H33</f>
        <v>350</v>
      </c>
    </row>
    <row r="35" spans="1:8" ht="7.5" customHeight="1">
      <c r="A35" s="42"/>
      <c r="B35" s="42"/>
      <c r="C35" s="43"/>
      <c r="D35" s="44"/>
      <c r="E35" s="42"/>
      <c r="F35" s="42"/>
      <c r="G35" s="42"/>
      <c r="H35" s="42"/>
    </row>
    <row r="36" spans="1:8">
      <c r="A36" s="13"/>
      <c r="B36" s="13"/>
      <c r="C36" s="11" t="s">
        <v>17</v>
      </c>
      <c r="D36" s="14"/>
      <c r="E36" s="15" t="s">
        <v>18</v>
      </c>
      <c r="F36" s="13"/>
      <c r="G36" s="13"/>
      <c r="H36" s="13"/>
    </row>
    <row r="37" spans="1:8">
      <c r="A37" s="13" t="s">
        <v>21</v>
      </c>
      <c r="B37" s="13"/>
      <c r="C37" s="149">
        <v>0</v>
      </c>
      <c r="D37" s="14">
        <f>IF(C37=0,0,(C37*D34*E37)-D34)</f>
        <v>0</v>
      </c>
      <c r="E37" s="16">
        <v>2.5</v>
      </c>
      <c r="F37" s="14">
        <f>IF($C$37=0,0,(1*$F$34*$E$37)-$F$34)</f>
        <v>0</v>
      </c>
      <c r="G37" s="14">
        <f>IF($C$37=0,0,(1*$G$34*$E$37)-$G$34)</f>
        <v>0</v>
      </c>
      <c r="H37" s="14">
        <f>IF($C$37=0,0,(1*$H$34*$E$37)-$H$34)</f>
        <v>0</v>
      </c>
    </row>
    <row r="38" spans="1:8">
      <c r="A38" s="13" t="s">
        <v>252</v>
      </c>
      <c r="B38" s="13"/>
      <c r="C38" s="149">
        <v>0</v>
      </c>
      <c r="D38" s="14">
        <f>IF(C38=0,0,(D34+D37)*(1*E38))</f>
        <v>0</v>
      </c>
      <c r="E38" s="16">
        <v>0.1</v>
      </c>
      <c r="F38" s="14">
        <f>IF(C38=0,0,(F34+F37)*(1*E38))</f>
        <v>0</v>
      </c>
      <c r="G38" s="14">
        <f>IF($C$38=0,0,(1*$G$34*$E$38))</f>
        <v>0</v>
      </c>
      <c r="H38" s="14">
        <f>IF($C$38=0,0,(1*($H$34+H37)*$E$38))</f>
        <v>0</v>
      </c>
    </row>
    <row r="39" spans="1:8">
      <c r="A39" s="13" t="s">
        <v>20</v>
      </c>
      <c r="B39" s="13"/>
      <c r="C39" s="149">
        <v>0</v>
      </c>
      <c r="D39" s="14">
        <f>IF(C39=0,0,(D34+D37)*(1*E39))</f>
        <v>0</v>
      </c>
      <c r="E39" s="16">
        <v>0.2</v>
      </c>
      <c r="F39" s="14">
        <f>IF(C39=0,0,(F34+F37)*(1*E39))</f>
        <v>0</v>
      </c>
      <c r="G39" s="14">
        <f>IF($C$39=0,0,(1*$G$34*$E$39))</f>
        <v>0</v>
      </c>
      <c r="H39" s="14">
        <f>IF($C$39=0,0,(1*($H$34+H37)*$E$39))</f>
        <v>0</v>
      </c>
    </row>
    <row r="40" spans="1:8" s="19" customFormat="1" ht="18.75">
      <c r="A40" s="17"/>
      <c r="B40" s="17" t="s">
        <v>22</v>
      </c>
      <c r="C40" s="17"/>
      <c r="D40" s="18">
        <f>SUM(D34:D39)</f>
        <v>999</v>
      </c>
      <c r="E40" s="17"/>
      <c r="F40" s="18">
        <f>SUM(F34:F39)</f>
        <v>999</v>
      </c>
      <c r="G40" s="18">
        <f>SUM(G34:G37)</f>
        <v>999</v>
      </c>
      <c r="H40" s="18">
        <f>SUM(H34:H39)</f>
        <v>350</v>
      </c>
    </row>
  </sheetData>
  <sheetProtection sheet="1" objects="1" scenarios="1"/>
  <mergeCells count="7">
    <mergeCell ref="A15:E15"/>
    <mergeCell ref="F1:H1"/>
    <mergeCell ref="A17:D17"/>
    <mergeCell ref="A21:D21"/>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G13" sqref="G13"/>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8" t="s">
        <v>62</v>
      </c>
    </row>
    <row r="3" spans="1:8">
      <c r="A3" s="23"/>
      <c r="B3" s="23"/>
      <c r="C3" s="23"/>
      <c r="D3" s="23"/>
      <c r="E3" s="23"/>
      <c r="F3" s="23"/>
      <c r="G3" s="23"/>
      <c r="H3" s="23"/>
    </row>
    <row r="4" spans="1:8">
      <c r="A4" s="23"/>
      <c r="B4" s="23"/>
      <c r="C4" s="23"/>
      <c r="D4" s="23"/>
      <c r="E4" s="23"/>
      <c r="F4" s="23"/>
      <c r="G4" s="23"/>
      <c r="H4" s="23"/>
    </row>
    <row r="5" spans="1:8" s="126" customFormat="1" ht="12">
      <c r="B5" s="126" t="s">
        <v>70</v>
      </c>
      <c r="G5" s="127" t="s">
        <v>73</v>
      </c>
      <c r="H5" s="128">
        <f ca="1">TODAY()</f>
        <v>40835</v>
      </c>
    </row>
    <row r="6" spans="1:8" s="126" customFormat="1" ht="12">
      <c r="B6" s="126" t="s">
        <v>71</v>
      </c>
      <c r="G6" s="127" t="s">
        <v>63</v>
      </c>
      <c r="H6" s="129">
        <f ca="1">TODAY()-39000</f>
        <v>1835</v>
      </c>
    </row>
    <row r="7" spans="1:8" s="126" customFormat="1" ht="12">
      <c r="B7" s="126" t="s">
        <v>72</v>
      </c>
      <c r="G7" s="127" t="s">
        <v>64</v>
      </c>
      <c r="H7" s="150"/>
    </row>
    <row r="8" spans="1:8" s="126" customFormat="1" ht="12">
      <c r="G8" s="130"/>
    </row>
    <row r="9" spans="1:8" s="126" customFormat="1" ht="12">
      <c r="B9" s="131" t="s">
        <v>65</v>
      </c>
      <c r="G9" s="127" t="s">
        <v>74</v>
      </c>
      <c r="H9" s="128">
        <f ca="1">TODAY() + 30</f>
        <v>40865</v>
      </c>
    </row>
    <row r="10" spans="1:8" s="126" customFormat="1" ht="12">
      <c r="B10" s="150" t="s">
        <v>75</v>
      </c>
      <c r="C10" s="150" t="s">
        <v>76</v>
      </c>
      <c r="D10" s="150"/>
      <c r="E10" s="150"/>
      <c r="F10" s="150"/>
      <c r="G10" s="127" t="s">
        <v>66</v>
      </c>
      <c r="H10" s="150"/>
    </row>
    <row r="11" spans="1:8" s="126" customFormat="1" ht="12">
      <c r="B11" s="150" t="s">
        <v>67</v>
      </c>
      <c r="C11" s="150"/>
      <c r="D11" s="150"/>
      <c r="E11" s="150"/>
      <c r="F11" s="150"/>
      <c r="G11" s="130"/>
    </row>
    <row r="12" spans="1:8" s="126" customFormat="1" ht="12">
      <c r="B12" s="150" t="s">
        <v>67</v>
      </c>
      <c r="C12" s="150"/>
      <c r="D12" s="150"/>
      <c r="E12" s="150"/>
      <c r="F12" s="150"/>
      <c r="G12" s="130"/>
    </row>
    <row r="13" spans="1:8" s="126" customFormat="1" ht="12">
      <c r="B13" s="150" t="s">
        <v>77</v>
      </c>
      <c r="C13" s="150"/>
      <c r="D13" s="150"/>
      <c r="E13" s="150" t="s">
        <v>78</v>
      </c>
      <c r="F13" s="150"/>
      <c r="G13" s="130"/>
    </row>
    <row r="14" spans="1:8" s="126" customFormat="1" ht="12">
      <c r="B14" s="150" t="s">
        <v>79</v>
      </c>
      <c r="C14" s="150"/>
      <c r="D14" s="150"/>
      <c r="E14" s="150"/>
      <c r="F14" s="150"/>
      <c r="G14" s="130"/>
    </row>
    <row r="15" spans="1:8" ht="6.75" customHeight="1"/>
    <row r="16" spans="1:8">
      <c r="B16" s="47" t="s">
        <v>68</v>
      </c>
    </row>
    <row r="17" spans="1:8">
      <c r="A17" s="49"/>
      <c r="B17" s="151"/>
      <c r="C17" s="151"/>
      <c r="D17" s="151"/>
      <c r="E17" s="151"/>
      <c r="F17" s="151"/>
      <c r="G17" s="151"/>
      <c r="H17" s="151"/>
    </row>
    <row r="18" spans="1:8">
      <c r="A18" s="49"/>
      <c r="B18" s="151"/>
      <c r="C18" s="151"/>
      <c r="D18" s="151"/>
      <c r="E18" s="151"/>
      <c r="F18" s="151"/>
      <c r="G18" s="151"/>
      <c r="H18" s="151"/>
    </row>
    <row r="19" spans="1:8">
      <c r="A19" s="23"/>
      <c r="B19" s="23" t="str">
        <f>IF('Configure Products'!F1=0,"Standard Quotation",IF('Configure Products'!F1=2,"Academic Quotation"))</f>
        <v>Standard Quotation</v>
      </c>
      <c r="C19" s="23"/>
      <c r="D19" s="23"/>
      <c r="E19" s="23"/>
      <c r="F19" s="23"/>
      <c r="G19" s="23"/>
      <c r="H19" s="23"/>
    </row>
    <row r="20" spans="1:8">
      <c r="A20" s="42"/>
      <c r="B20" s="124" t="s">
        <v>251</v>
      </c>
      <c r="C20" s="42"/>
      <c r="D20" s="42"/>
      <c r="E20" s="42"/>
      <c r="F20" s="42"/>
      <c r="G20" s="42"/>
      <c r="H20" s="42"/>
    </row>
    <row r="21" spans="1:8">
      <c r="A21" s="49"/>
      <c r="B21" s="49" t="s">
        <v>240</v>
      </c>
      <c r="C21" s="49"/>
      <c r="D21" s="49" t="s">
        <v>0</v>
      </c>
      <c r="E21" s="49"/>
      <c r="F21" s="49"/>
      <c r="G21" s="125" t="s">
        <v>16</v>
      </c>
      <c r="H21" s="125" t="s">
        <v>69</v>
      </c>
    </row>
    <row r="22" spans="1:8">
      <c r="A22" s="49"/>
      <c r="B22" s="136" t="str">
        <f>IF('Configure Products'!C18=0,"", CONCATENATE('Jacket-July-2011'!A78))</f>
        <v/>
      </c>
      <c r="C22" s="49"/>
      <c r="D22" s="140" t="str">
        <f>IF('Configure Products'!C18=0,"", CONCATENATE('Configure Products'!B18))</f>
        <v/>
      </c>
      <c r="E22" s="49"/>
      <c r="F22" s="49"/>
      <c r="G22" s="141" t="str">
        <f>IF('Configure Products'!C18=0,"", 'Configure Products'!C18)</f>
        <v/>
      </c>
      <c r="H22" s="142" t="str">
        <f>IF('Configure Products'!C18=0,"",IF('Configure Products'!F1=0,'Configure Products'!F18,IF('Configure Products'!F1=1,'Configure Products'!G18,IF('Configure Products'!F1=2,'Configure Products'!H18))))</f>
        <v/>
      </c>
    </row>
    <row r="23" spans="1:8">
      <c r="B23" s="38" t="str">
        <f>IF('Configure Products'!C22=0,"", CONCATENATE('Jacket-July-2011'!A9))</f>
        <v>JKT-BASE-PER</v>
      </c>
      <c r="D23" s="133" t="str">
        <f>IF('Configure Products'!C22=0,"", CONCATENATE('Configure Products'!B22))</f>
        <v>Base License</v>
      </c>
      <c r="G23" s="46">
        <f>IF('Configure Products'!C22=0,"", 'Configure Products'!C22)</f>
        <v>1</v>
      </c>
      <c r="H23" s="29">
        <f>IF('Configure Products'!C22=0,"",IF('Configure Products'!F1=0,'Configure Products'!F22,IF('Configure Products'!F1=1,'Configure Products'!G22,IF('Configure Products'!F1=2,'Configure Products'!H22))))</f>
        <v>999</v>
      </c>
    </row>
    <row r="24" spans="1:8">
      <c r="A24" s="36"/>
      <c r="B24" s="134" t="str">
        <f>IF('Configure Products'!C23=0,"", CONCATENATE('Jacket-July-2011'!A82))</f>
        <v/>
      </c>
      <c r="C24" s="36"/>
      <c r="D24" s="4" t="str">
        <f>IF('Configure Products'!C23=0,"", CONCATENATE('Configure Products'!B23))</f>
        <v/>
      </c>
      <c r="E24" s="36"/>
      <c r="F24" s="36"/>
      <c r="G24" s="45" t="str">
        <f>IF('Configure Products'!C23=0,"", 'Configure Products'!C23)</f>
        <v/>
      </c>
      <c r="H24" s="135" t="str">
        <f>IF('Configure Products'!C23=0,"",IF('Configure Products'!F1=0,'Configure Products'!F23,IF('Configure Products'!F1=1,'Configure Products'!G23,IF('Configure Products'!F1=2,'Configure Products'!H23))))</f>
        <v/>
      </c>
    </row>
    <row r="25" spans="1:8">
      <c r="B25" s="38" t="str">
        <f>IF('Configure Products'!C25=0,"", CONCATENATE('Jacket-July-2011'!A66))</f>
        <v/>
      </c>
      <c r="D25" s="133" t="str">
        <f>IF('Configure Products'!C25=0,"", CONCATENATE('Configure Products'!B25))</f>
        <v/>
      </c>
      <c r="G25" s="46" t="str">
        <f>IF('Configure Products'!C25=0,"", 'Configure Products'!C25)</f>
        <v/>
      </c>
      <c r="H25" s="29" t="str">
        <f>IF('Configure Products'!C25=0,"",IF('Configure Products'!F1=0,'Configure Products'!F25,IF('Configure Products'!F1=1,'Configure Products'!G25,IF('Configure Products'!F1=2,'Configure Products'!H25))))</f>
        <v/>
      </c>
    </row>
    <row r="26" spans="1:8">
      <c r="A26" s="36"/>
      <c r="B26" s="134" t="str">
        <f>IF('Configure Products'!C26=0,"", CONCATENATE('Jacket-July-2011'!A70))</f>
        <v/>
      </c>
      <c r="C26" s="36"/>
      <c r="D26" s="4" t="str">
        <f>IF('Configure Products'!C26=0,"", CONCATENATE('Configure Products'!B26))</f>
        <v/>
      </c>
      <c r="E26" s="36"/>
      <c r="F26" s="36"/>
      <c r="G26" s="45" t="str">
        <f>IF('Configure Products'!C26=0,"", 'Configure Products'!C26)</f>
        <v/>
      </c>
      <c r="H26" s="135" t="str">
        <f>IF('Configure Products'!C26=0,"",IF('Configure Products'!F1=0,'Configure Products'!F26,IF('Configure Products'!F1=1,'Configure Products'!G26,IF('Configure Products'!F1=2,'Configure Products'!H26))))</f>
        <v/>
      </c>
    </row>
    <row r="27" spans="1:8" s="26" customFormat="1">
      <c r="B27" s="27" t="str">
        <f>IF('Configure Products'!C19=0,"", CONCATENATE('Jacket-July-2011'!A10))</f>
        <v/>
      </c>
      <c r="D27" s="5" t="str">
        <f>IF('Configure Products'!C19=0,"", CONCATENATE('Configure Products'!B19))</f>
        <v/>
      </c>
      <c r="G27" s="143" t="str">
        <f>IF('Configure Products'!C19=0,"", 'Configure Products'!C19)</f>
        <v/>
      </c>
      <c r="H27" s="29" t="str">
        <f>IF('Configure Products'!C19=0,"",IF('Configure Products'!F1=0,'Configure Products'!F19,IF('Configure Products'!F1=1,'Configure Products'!G19,IF('Configure Products'!F1=2,'Configure Products'!H19))))</f>
        <v/>
      </c>
    </row>
    <row r="28" spans="1:8" s="26" customFormat="1">
      <c r="A28" s="36"/>
      <c r="B28" s="134" t="str">
        <f>IF('Configure Products'!C20=0,"", CONCATENATE('Jacket-July-2011'!A11))</f>
        <v/>
      </c>
      <c r="C28" s="36"/>
      <c r="D28" s="4" t="str">
        <f>IF('Configure Products'!C20=0,"", CONCATENATE('Configure Products'!B20))</f>
        <v/>
      </c>
      <c r="E28" s="36"/>
      <c r="F28" s="36"/>
      <c r="G28" s="45" t="str">
        <f>IF('Configure Products'!C20=0,"", 'Configure Products'!C20)</f>
        <v/>
      </c>
      <c r="H28" s="135" t="str">
        <f>IF('Configure Products'!C20=0,"",IF('Configure Products'!F1=0,'Configure Products'!F20,IF('Configure Products'!F1=1,'Configure Products'!G20,IF('Configure Products'!F1=2,'Configure Products'!H20))))</f>
        <v/>
      </c>
    </row>
    <row r="29" spans="1:8">
      <c r="A29" s="42"/>
      <c r="B29" s="124" t="s">
        <v>241</v>
      </c>
      <c r="C29" s="42"/>
      <c r="D29" s="42"/>
      <c r="E29" s="42"/>
      <c r="F29" s="42"/>
      <c r="G29" s="42"/>
      <c r="H29" s="132" t="str">
        <f>IF(AND('Configure Products'!C22=0,'Configure Products'!C19=0,'Configure Products'!C20=0),"",IF('Configure Products'!C27=0,"",IF('Configure Products'!F1=0,'Configure Products'!F27,IF('Configure Products'!F1=1,'Configure Products'!G27,IF('Configure Products'!F1=2,'Configure Products'!H27)))))</f>
        <v/>
      </c>
    </row>
    <row r="30" spans="1:8">
      <c r="A30" s="137"/>
      <c r="B30" s="138" t="str">
        <f>IF(AND('Configure Products'!C22=0,'Configure Products'!C19=0,'Configure Products'!C20=0),"",IF('Configure Products'!C28=0,"",IF('Configure Products'!C28=1,"Included",IF('Configure Products'!C28=2, CONCATENATE('Jacket-July-2011'!A14),IF('Configure Products'!C28=3, CONCATENATE('Jacket-July-2011'!A15), IF('Configure Products'!C28=4, CONCATENATE('Jacket-July-2011'!A16), IF('Configure Products'!C28=5, CONCATENATE('Jacket-July-2011'!A17), IF('Configure Products'!C28=6, CONCATENATE('Jacket-July-2011'!A18), IF('Configure Products'!C28=7, CONCATENATE('Jacket-July-2011'!A19), IF('Configure Products'!C28=8, CONCATENATE('Jacket-July-2011'!A20), IF('Configure Products'!C28&gt;8, "error - upto 8 GPUs only")))))))))))</f>
        <v/>
      </c>
      <c r="C30" s="137"/>
      <c r="D30" s="137" t="str">
        <f>IF(AND('Configure Products'!C22=0,'Configure Products'!C19=0,'Configure Products'!C20=0),"",IF('Configure Products'!C28=0,"", CONCATENATE('Configure Products'!B28)))</f>
        <v/>
      </c>
      <c r="E30" s="137"/>
      <c r="F30" s="137"/>
      <c r="G30" s="137"/>
      <c r="H30" s="137"/>
    </row>
    <row r="31" spans="1:8">
      <c r="A31" s="137"/>
      <c r="B31" s="139" t="str">
        <f>IF(AND('Configure Products'!C22&lt;2,'Configure Products'!C19=0,'Configure Products'!C20=0),"",IF('Configure Products'!C29=0,"",IF('Configure Products'!C29=1,"Included",IF('Configure Products'!C29=2, CONCATENATE('Jacket-July-2011'!A14),IF('Configure Products'!C29=3, CONCATENATE('Jacket-July-2011'!A15), IF('Configure Products'!C29=4, CONCATENATE('Jacket-July-2011'!A16), IF('Configure Products'!C29=5, CONCATENATE('Jacket-July-2011'!A17), IF('Configure Products'!C29=6, CONCATENATE('Jacket-July-2011'!A18), IF('Configure Products'!C29=7, CONCATENATE('Jacket-July-2011'!A19), IF('Configure Products'!C29=8, CONCATENATE('Jacket-July-2011'!A20), IF('Configure Products'!C29&gt;8, "error - upto 8 GPUs only")))))))))))</f>
        <v/>
      </c>
      <c r="C31" s="137"/>
      <c r="D31" s="137" t="str">
        <f>IF(AND('Configure Products'!C22&lt;2,'Configure Products'!C19=0,'Configure Products'!C20=0),"",IF('Configure Products'!C29=0,"",CONCATENATE('Configure Products'!B29)))</f>
        <v/>
      </c>
      <c r="E31" s="137"/>
      <c r="F31" s="137"/>
      <c r="G31" s="137"/>
      <c r="H31" s="137"/>
    </row>
    <row r="32" spans="1:8">
      <c r="A32" s="137"/>
      <c r="B32" s="139" t="str">
        <f>IF(AND('Configure Products'!C22&lt;3,'Configure Products'!C19=0,'Configure Products'!C20=0),"",IF('Configure Products'!C30=0,"",IF('Configure Products'!C30=1,"Included",IF('Configure Products'!C30=2, CONCATENATE('Jacket-July-2011'!A14),IF('Configure Products'!C30=3, CONCATENATE('Jacket-July-2011'!A15), IF('Configure Products'!C30=4, CONCATENATE('Jacket-July-2011'!A16), IF('Configure Products'!C30=5, CONCATENATE('Jacket-July-2011'!A17), IF('Configure Products'!C30=6, CONCATENATE('Jacket-July-2011'!A18), IF('Configure Products'!C30=7, CONCATENATE('Jacket-July-2011'!A19), IF('Configure Products'!C30=8, CONCATENATE('Jacket-July-2011'!A20), IF('Configure Products'!C30&gt;8, "error - upto 8 GPUs only")))))))))))</f>
        <v/>
      </c>
      <c r="C32" s="137"/>
      <c r="D32" s="137" t="str">
        <f>IF(AND('Configure Products'!C22&lt;3,'Configure Products'!C19=0,'Configure Products'!C20=0),"",IF('Configure Products'!C30=0,"",IF('Configure Products'!C30=0,"", CONCATENATE('Configure Products'!B30))))</f>
        <v/>
      </c>
      <c r="E32" s="137"/>
      <c r="F32" s="137"/>
      <c r="G32" s="137"/>
      <c r="H32" s="137"/>
    </row>
    <row r="33" spans="1:8">
      <c r="A33" s="137"/>
      <c r="B33" s="139" t="str">
        <f>IF(AND('Configure Products'!C22&lt;4,'Configure Products'!C19=0,'Configure Products'!C20=0),"",IF('Configure Products'!C31=0,"",IF('Configure Products'!C31=1,"Included",IF('Configure Products'!C31=2, CONCATENATE('Jacket-July-2011'!A14),IF('Configure Products'!C31=3, CONCATENATE('Jacket-July-2011'!A15), IF('Configure Products'!C31=4, CONCATENATE('Jacket-July-2011'!A16), IF('Configure Products'!C31=5, CONCATENATE('Jacket-July-2011'!A17), IF('Configure Products'!C31=6, CONCATENATE('Jacket-July-2011'!A18), IF('Configure Products'!C31=7, CONCATENATE('Jacket-July-2011'!A19), IF('Configure Products'!C31=8, CONCATENATE('Jacket-July-2011'!A20), IF('Configure Products'!C31&gt;8, "error - upto 8 GPUs only")))))))))))</f>
        <v/>
      </c>
      <c r="C33" s="137"/>
      <c r="D33" s="137" t="str">
        <f>IF(AND('Configure Products'!C22&lt;4,'Configure Products'!C19=0,'Configure Products'!C20=0),"",IF('Configure Products'!C31=0,"",IF('Configure Products'!C31=0,"", CONCATENATE('Configure Products'!B31))))</f>
        <v/>
      </c>
      <c r="E33" s="137"/>
      <c r="F33" s="137"/>
      <c r="G33" s="137"/>
      <c r="H33" s="137"/>
    </row>
    <row r="34" spans="1:8">
      <c r="A34" s="137"/>
      <c r="B34" s="139" t="str">
        <f>IF(AND('Configure Products'!C22&lt;5,'Configure Products'!C19=0,'Configure Products'!C20=0),"",IF('Configure Products'!C32=0,"",IF('Configure Products'!C32=1,"Included",IF('Configure Products'!C32=2, CONCATENATE('Jacket-July-2011'!A14),IF('Configure Products'!C32=3, CONCATENATE('Jacket-July-2011'!A15), IF('Configure Products'!C32=4, CONCATENATE('Jacket-July-2011'!A16), IF('Configure Products'!C32=5, CONCATENATE('Jacket-July-2011'!A17), IF('Configure Products'!C32=6, CONCATENATE('Jacket-July-2011'!A18), IF('Configure Products'!C32=7, CONCATENATE('Jacket-July-2011'!A19), IF('Configure Products'!C32=8, CONCATENATE('Jacket-July-2011'!A20), IF('Configure Products'!C32&gt;8, "error - upto 8 GPUS only")))))))))))</f>
        <v/>
      </c>
      <c r="C34" s="137"/>
      <c r="D34" s="137" t="str">
        <f>IF(AND('Configure Products'!C22&lt;5,'Configure Products'!C19=0,'Configure Products'!C20=0),"",IF('Configure Products'!C32=0,"",IF('Configure Products'!C32=0,"", CONCATENATE('Configure Products'!B32))))</f>
        <v/>
      </c>
      <c r="E34" s="137"/>
      <c r="F34" s="137"/>
      <c r="G34" s="137"/>
      <c r="H34" s="137"/>
    </row>
    <row r="35" spans="1:8">
      <c r="A35" s="36"/>
      <c r="B35" s="134" t="str">
        <f>IF(AND('Configure Products'!C22=0,'Configure Products'!C19=0,'Configure Products'!C20=0),"",IF('Configure Products'!C33=0, "", IF('Configure Products'!C33&lt;8,"ERROR - 8+ GPUs only",CONCATENATE("JKT-HPC",'Configure Products'!C33,"G-PER"))))</f>
        <v/>
      </c>
      <c r="C35" s="36"/>
      <c r="D35" s="36" t="str">
        <f>IF(AND('Configure Products'!C22=0,'Configure Products'!C19=0,'Configure Products'!C20=0),"",IF('Configure Products'!C22=0,"",IF('Configure Products'!C33=0,"", IF('Configure Products'!C33&lt;8,"",CONCATENATE('Configure Products'!A33," license for ", 'Configure Products'!C33, " GPU Cluster")))))</f>
        <v/>
      </c>
      <c r="E35" s="36"/>
      <c r="F35" s="36"/>
      <c r="G35" s="36"/>
      <c r="H35" s="135" t="str">
        <f>IF('Configure Products'!C33=0,"",IF('Configure Products'!C33&lt;8,"ERROR - 8+ GPUs only",IF('Configure Products'!F1=0,'Configure Products'!F33,IF('Configure Products'!F1=1,'Configure Products'!G33,IF('Configure Products'!F1=2,'Configure Products'!H33)))))</f>
        <v/>
      </c>
    </row>
    <row r="36" spans="1:8">
      <c r="A36" s="42"/>
      <c r="B36" s="124" t="s">
        <v>253</v>
      </c>
      <c r="C36" s="42"/>
      <c r="D36" s="42"/>
      <c r="E36" s="42"/>
      <c r="F36" s="42"/>
      <c r="G36" s="42"/>
      <c r="H36" s="42"/>
    </row>
    <row r="37" spans="1:8">
      <c r="A37" s="49"/>
      <c r="B37" s="136" t="str">
        <f>IF('Configure Products'!C38=0,"", CONCATENATE('Configure Products'!A38))</f>
        <v/>
      </c>
      <c r="C37" s="49"/>
      <c r="D37" s="49"/>
      <c r="E37" s="49"/>
      <c r="F37" s="49"/>
      <c r="G37" s="49"/>
      <c r="H37" s="142" t="str">
        <f>IF('Configure Products'!C38=0,"",IF('Configure Products'!F1=0,'Configure Products'!F38,IF('Configure Products'!F1=1,'Configure Products'!G38,IF('Configure Products'!F1=2,'Configure Products'!H38))))</f>
        <v/>
      </c>
    </row>
    <row r="38" spans="1:8">
      <c r="B38" s="27" t="str">
        <f>IF('Configure Products'!C39=0,"", CONCATENATE('Configure Products'!A39))</f>
        <v/>
      </c>
      <c r="H38" s="29" t="str">
        <f>IF('Configure Products'!C39=0,"",IF('Configure Products'!F1=0,'Configure Products'!F39,IF('Configure Products'!F1=1,'Configure Products'!G39,IF('Configure Products'!F1=2,'Configure Products'!H39))))</f>
        <v/>
      </c>
    </row>
    <row r="39" spans="1:8">
      <c r="A39" s="49"/>
      <c r="B39" s="136" t="str">
        <f>IF('Configure Products'!C37=0,"", CONCATENATE('Configure Products'!A37))</f>
        <v/>
      </c>
      <c r="C39" s="49"/>
      <c r="D39" s="49"/>
      <c r="E39" s="49"/>
      <c r="F39" s="49"/>
      <c r="G39" s="49"/>
      <c r="H39" s="142" t="str">
        <f>IF('Configure Products'!C37=0,"",IF('Configure Products'!F1=0,'Configure Products'!F37,IF('Configure Products'!F1=1,'Configure Products'!G37,IF('Configure Products'!F1=2,'Configure Products'!H37))))</f>
        <v/>
      </c>
    </row>
    <row r="40" spans="1:8" ht="10.5" customHeight="1">
      <c r="A40" s="23"/>
      <c r="B40" s="23"/>
      <c r="C40" s="23"/>
      <c r="D40" s="23"/>
      <c r="E40" s="23"/>
      <c r="F40" s="23"/>
      <c r="G40" s="23"/>
      <c r="H40" s="23"/>
    </row>
    <row r="41" spans="1:8" ht="15.75">
      <c r="A41" s="144"/>
      <c r="B41" s="144" t="s">
        <v>254</v>
      </c>
      <c r="C41" s="144"/>
      <c r="D41" s="144"/>
      <c r="E41" s="144"/>
      <c r="F41" s="144"/>
      <c r="G41" s="144"/>
      <c r="H41" s="145">
        <f>SUM(H22:H39)</f>
        <v>999</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K179"/>
  <sheetViews>
    <sheetView workbookViewId="0">
      <selection activeCell="A10" sqref="A10:D11"/>
    </sheetView>
  </sheetViews>
  <sheetFormatPr defaultRowHeight="15"/>
  <cols>
    <col min="1" max="1" width="36.42578125" style="120" customWidth="1"/>
    <col min="2" max="2" width="81.7109375" customWidth="1"/>
    <col min="3" max="3" width="16" style="121" customWidth="1"/>
    <col min="4" max="4" width="16.42578125" style="123" customWidth="1"/>
  </cols>
  <sheetData>
    <row r="1" spans="1:11" s="51" customFormat="1" ht="14.25">
      <c r="A1" s="50"/>
      <c r="B1" s="50"/>
      <c r="C1" s="50"/>
    </row>
    <row r="2" spans="1:11" s="52" customFormat="1" ht="41.25" customHeight="1">
      <c r="A2" s="206" t="s">
        <v>80</v>
      </c>
      <c r="B2" s="207"/>
      <c r="C2" s="207"/>
      <c r="D2" s="207"/>
    </row>
    <row r="3" spans="1:11" s="53" customFormat="1">
      <c r="A3" s="208" t="s">
        <v>302</v>
      </c>
      <c r="B3" s="208"/>
      <c r="C3" s="208"/>
      <c r="D3" s="203"/>
    </row>
    <row r="4" spans="1:11" s="55" customFormat="1" ht="16.5" thickBot="1">
      <c r="A4" s="199" t="s">
        <v>81</v>
      </c>
      <c r="B4" s="200"/>
      <c r="C4" s="54"/>
    </row>
    <row r="5" spans="1:11" s="53" customFormat="1" ht="15.75" thickBot="1">
      <c r="A5" s="213"/>
      <c r="B5" s="214"/>
      <c r="C5" s="214"/>
      <c r="D5" s="215"/>
    </row>
    <row r="6" spans="1:11" s="53" customFormat="1" ht="18.75" customHeight="1">
      <c r="A6" s="216" t="s">
        <v>43</v>
      </c>
      <c r="B6" s="210"/>
      <c r="C6" s="55"/>
    </row>
    <row r="7" spans="1:11" s="53" customFormat="1" ht="19.5">
      <c r="A7" s="57" t="s">
        <v>4</v>
      </c>
      <c r="B7" s="56"/>
    </row>
    <row r="8" spans="1:11" s="53" customFormat="1" ht="19.5">
      <c r="A8" s="58" t="s">
        <v>31</v>
      </c>
      <c r="B8" s="59" t="s">
        <v>0</v>
      </c>
      <c r="C8" s="60" t="s">
        <v>82</v>
      </c>
      <c r="D8" s="61" t="s">
        <v>83</v>
      </c>
    </row>
    <row r="9" spans="1:11" s="53" customFormat="1" ht="107.25" customHeight="1">
      <c r="A9" s="62" t="s">
        <v>32</v>
      </c>
      <c r="B9" s="63" t="s">
        <v>305</v>
      </c>
      <c r="C9" s="64">
        <v>999</v>
      </c>
      <c r="D9" s="65">
        <v>350</v>
      </c>
    </row>
    <row r="10" spans="1:11" s="53" customFormat="1" ht="107.25" customHeight="1">
      <c r="A10" s="66" t="s">
        <v>84</v>
      </c>
      <c r="B10" s="67" t="s">
        <v>306</v>
      </c>
      <c r="C10" s="68">
        <f>(C9*5)*0.8</f>
        <v>3996</v>
      </c>
      <c r="D10" s="69">
        <f>C10-(C10*0.65)</f>
        <v>1398.6</v>
      </c>
      <c r="E10" s="52"/>
      <c r="F10" s="52"/>
      <c r="G10" s="52"/>
      <c r="H10" s="52"/>
      <c r="I10" s="52"/>
      <c r="J10" s="52"/>
      <c r="K10" s="52"/>
    </row>
    <row r="11" spans="1:11" s="53" customFormat="1" ht="107.25" customHeight="1">
      <c r="A11" s="62" t="s">
        <v>85</v>
      </c>
      <c r="B11" s="63" t="s">
        <v>307</v>
      </c>
      <c r="C11" s="158">
        <f>(C9*10)*0.8</f>
        <v>7992</v>
      </c>
      <c r="D11" s="65">
        <f>C11-(C11*0.65)</f>
        <v>2797.2</v>
      </c>
      <c r="E11" s="52"/>
      <c r="F11" s="52"/>
      <c r="G11" s="52"/>
      <c r="H11" s="52"/>
      <c r="I11" s="52"/>
      <c r="J11" s="52"/>
      <c r="K11" s="52"/>
    </row>
    <row r="12" spans="1:11" s="53" customFormat="1" ht="21.75" customHeight="1" thickBot="1">
      <c r="A12" s="157" t="s">
        <v>86</v>
      </c>
    </row>
    <row r="13" spans="1:11" s="53" customFormat="1" ht="21.75" customHeight="1" thickBot="1">
      <c r="A13" s="70" t="s">
        <v>31</v>
      </c>
      <c r="B13" s="71" t="s">
        <v>0</v>
      </c>
      <c r="C13" s="211" t="s">
        <v>87</v>
      </c>
      <c r="D13" s="212"/>
    </row>
    <row r="14" spans="1:11" s="53" customFormat="1" ht="73.5" customHeight="1">
      <c r="A14" s="66" t="s">
        <v>88</v>
      </c>
      <c r="B14" s="67" t="s">
        <v>89</v>
      </c>
      <c r="C14" s="72">
        <f>750*1</f>
        <v>750</v>
      </c>
      <c r="D14" s="73">
        <f t="shared" ref="D14:D26" si="0">C14-(C14*0.65)</f>
        <v>262.5</v>
      </c>
    </row>
    <row r="15" spans="1:11" s="53" customFormat="1" ht="73.5" customHeight="1">
      <c r="A15" s="74" t="s">
        <v>90</v>
      </c>
      <c r="B15" s="63" t="s">
        <v>91</v>
      </c>
      <c r="C15" s="75">
        <f>750*2</f>
        <v>1500</v>
      </c>
      <c r="D15" s="65">
        <f t="shared" si="0"/>
        <v>525</v>
      </c>
    </row>
    <row r="16" spans="1:11" s="53" customFormat="1" ht="73.5" customHeight="1">
      <c r="A16" s="76" t="s">
        <v>92</v>
      </c>
      <c r="B16" s="67" t="s">
        <v>93</v>
      </c>
      <c r="C16" s="72">
        <f>750*3</f>
        <v>2250</v>
      </c>
      <c r="D16" s="69">
        <f t="shared" si="0"/>
        <v>787.5</v>
      </c>
    </row>
    <row r="17" spans="1:4" s="53" customFormat="1" ht="66">
      <c r="A17" s="77" t="s">
        <v>94</v>
      </c>
      <c r="B17" s="78" t="s">
        <v>95</v>
      </c>
      <c r="C17" s="75">
        <f>750*4</f>
        <v>3000</v>
      </c>
      <c r="D17" s="65">
        <f t="shared" si="0"/>
        <v>1050</v>
      </c>
    </row>
    <row r="18" spans="1:4" s="53" customFormat="1" ht="66">
      <c r="A18" s="79" t="s">
        <v>96</v>
      </c>
      <c r="B18" s="80" t="s">
        <v>97</v>
      </c>
      <c r="C18" s="72">
        <f>750*5</f>
        <v>3750</v>
      </c>
      <c r="D18" s="69">
        <f t="shared" si="0"/>
        <v>1312.5</v>
      </c>
    </row>
    <row r="19" spans="1:4" s="53" customFormat="1" ht="66">
      <c r="A19" s="77" t="s">
        <v>98</v>
      </c>
      <c r="B19" s="78" t="s">
        <v>99</v>
      </c>
      <c r="C19" s="75">
        <f>750*6</f>
        <v>4500</v>
      </c>
      <c r="D19" s="65">
        <f t="shared" si="0"/>
        <v>1575</v>
      </c>
    </row>
    <row r="20" spans="1:4" s="53" customFormat="1" ht="66">
      <c r="A20" s="79" t="s">
        <v>100</v>
      </c>
      <c r="B20" s="80" t="s">
        <v>101</v>
      </c>
      <c r="C20" s="72">
        <f>750*7</f>
        <v>5250</v>
      </c>
      <c r="D20" s="69">
        <f t="shared" si="0"/>
        <v>1837.5</v>
      </c>
    </row>
    <row r="21" spans="1:4" s="53" customFormat="1" ht="66">
      <c r="A21" s="77" t="s">
        <v>102</v>
      </c>
      <c r="B21" s="78" t="s">
        <v>103</v>
      </c>
      <c r="C21" s="81">
        <f>500*11</f>
        <v>5500</v>
      </c>
      <c r="D21" s="65">
        <f t="shared" si="0"/>
        <v>1925</v>
      </c>
    </row>
    <row r="22" spans="1:4" s="53" customFormat="1" ht="66">
      <c r="A22" s="79" t="s">
        <v>104</v>
      </c>
      <c r="B22" s="80" t="s">
        <v>105</v>
      </c>
      <c r="C22" s="82">
        <f>500*15</f>
        <v>7500</v>
      </c>
      <c r="D22" s="69">
        <f t="shared" si="0"/>
        <v>2625</v>
      </c>
    </row>
    <row r="23" spans="1:4" s="53" customFormat="1" ht="66">
      <c r="A23" s="77" t="s">
        <v>106</v>
      </c>
      <c r="B23" s="78" t="s">
        <v>107</v>
      </c>
      <c r="C23" s="81">
        <f>500*31</f>
        <v>15500</v>
      </c>
      <c r="D23" s="65">
        <f t="shared" si="0"/>
        <v>5425</v>
      </c>
    </row>
    <row r="24" spans="1:4" s="53" customFormat="1" ht="66">
      <c r="A24" s="79" t="s">
        <v>108</v>
      </c>
      <c r="B24" s="80" t="s">
        <v>109</v>
      </c>
      <c r="C24" s="82">
        <f>500*63</f>
        <v>31500</v>
      </c>
      <c r="D24" s="69">
        <f t="shared" si="0"/>
        <v>11025</v>
      </c>
    </row>
    <row r="25" spans="1:4" s="53" customFormat="1" ht="66">
      <c r="A25" s="77" t="s">
        <v>110</v>
      </c>
      <c r="B25" s="78" t="s">
        <v>111</v>
      </c>
      <c r="C25" s="81">
        <f>500*127</f>
        <v>63500</v>
      </c>
      <c r="D25" s="65">
        <f t="shared" si="0"/>
        <v>22225</v>
      </c>
    </row>
    <row r="26" spans="1:4" s="53" customFormat="1" ht="66">
      <c r="A26" s="79" t="s">
        <v>112</v>
      </c>
      <c r="B26" s="80" t="s">
        <v>113</v>
      </c>
      <c r="C26" s="82">
        <f>500*255</f>
        <v>127500</v>
      </c>
      <c r="D26" s="69">
        <f t="shared" si="0"/>
        <v>44625</v>
      </c>
    </row>
    <row r="27" spans="1:4" s="51" customFormat="1" ht="14.25">
      <c r="A27" s="50"/>
      <c r="B27" s="50"/>
      <c r="C27" s="50"/>
    </row>
    <row r="28" spans="1:4" s="52" customFormat="1" ht="33.75">
      <c r="A28" s="206" t="s">
        <v>80</v>
      </c>
      <c r="B28" s="207"/>
      <c r="C28" s="207"/>
      <c r="D28" s="207"/>
    </row>
    <row r="29" spans="1:4" s="53" customFormat="1">
      <c r="A29" s="208" t="s">
        <v>302</v>
      </c>
      <c r="B29" s="208"/>
      <c r="C29" s="208"/>
      <c r="D29" s="203"/>
    </row>
    <row r="30" spans="1:4" s="55" customFormat="1" ht="15.75">
      <c r="A30" s="199" t="s">
        <v>81</v>
      </c>
      <c r="B30" s="200"/>
      <c r="C30" s="54"/>
    </row>
    <row r="31" spans="1:4" s="53" customFormat="1" ht="20.25" thickBot="1">
      <c r="A31" s="83" t="s">
        <v>114</v>
      </c>
    </row>
    <row r="32" spans="1:4" s="53" customFormat="1" ht="20.25" thickBot="1">
      <c r="A32" s="70" t="s">
        <v>31</v>
      </c>
      <c r="B32" s="71" t="s">
        <v>0</v>
      </c>
      <c r="C32" s="60" t="s">
        <v>82</v>
      </c>
      <c r="D32" s="61" t="s">
        <v>83</v>
      </c>
    </row>
    <row r="33" spans="1:4" s="87" customFormat="1" ht="16.5">
      <c r="A33" s="84" t="s">
        <v>115</v>
      </c>
      <c r="B33" s="85" t="s">
        <v>116</v>
      </c>
      <c r="C33" s="86">
        <f>C9*0.1</f>
        <v>99.9</v>
      </c>
      <c r="D33" s="86">
        <f>D9*0.1</f>
        <v>35</v>
      </c>
    </row>
    <row r="34" spans="1:4" s="53" customFormat="1" ht="33">
      <c r="A34" s="88" t="s">
        <v>117</v>
      </c>
      <c r="B34" s="89" t="s">
        <v>118</v>
      </c>
      <c r="C34" s="90">
        <f>(C9+C14)*0.1</f>
        <v>174.9</v>
      </c>
      <c r="D34" s="90">
        <f>(D9+D14)*0.1</f>
        <v>61.25</v>
      </c>
    </row>
    <row r="35" spans="1:4" s="53" customFormat="1" ht="33">
      <c r="A35" s="84" t="s">
        <v>119</v>
      </c>
      <c r="B35" s="85" t="s">
        <v>120</v>
      </c>
      <c r="C35" s="86">
        <f>(C9+C15)*0.1</f>
        <v>249.9</v>
      </c>
      <c r="D35" s="86">
        <f>(D9+D15)*0.1</f>
        <v>87.5</v>
      </c>
    </row>
    <row r="36" spans="1:4" s="53" customFormat="1" ht="33">
      <c r="A36" s="88" t="s">
        <v>121</v>
      </c>
      <c r="B36" s="89" t="s">
        <v>122</v>
      </c>
      <c r="C36" s="90">
        <f>(C9+C16)*0.1</f>
        <v>324.90000000000003</v>
      </c>
      <c r="D36" s="90">
        <f>(D9+D16)*0.1</f>
        <v>113.75</v>
      </c>
    </row>
    <row r="37" spans="1:4" s="53" customFormat="1" ht="33">
      <c r="A37" s="84" t="s">
        <v>123</v>
      </c>
      <c r="B37" s="85" t="s">
        <v>124</v>
      </c>
      <c r="C37" s="86">
        <f>(C9+C17)*0.1</f>
        <v>399.90000000000003</v>
      </c>
      <c r="D37" s="86">
        <f>(D9+D17)*0.1</f>
        <v>140</v>
      </c>
    </row>
    <row r="38" spans="1:4" s="53" customFormat="1" ht="33">
      <c r="A38" s="88" t="s">
        <v>125</v>
      </c>
      <c r="B38" s="89" t="s">
        <v>126</v>
      </c>
      <c r="C38" s="90">
        <f>(C9+C18)*0.1</f>
        <v>474.90000000000003</v>
      </c>
      <c r="D38" s="90">
        <f>(D9+D18)*0.1</f>
        <v>166.25</v>
      </c>
    </row>
    <row r="39" spans="1:4" s="53" customFormat="1" ht="33">
      <c r="A39" s="84" t="s">
        <v>127</v>
      </c>
      <c r="B39" s="85" t="s">
        <v>128</v>
      </c>
      <c r="C39" s="86">
        <f>(C9+C19)*0.1</f>
        <v>549.9</v>
      </c>
      <c r="D39" s="86">
        <f>(D9+D19)*0.1</f>
        <v>192.5</v>
      </c>
    </row>
    <row r="40" spans="1:4" s="53" customFormat="1" ht="33">
      <c r="A40" s="88" t="s">
        <v>129</v>
      </c>
      <c r="B40" s="89" t="s">
        <v>130</v>
      </c>
      <c r="C40" s="90">
        <f>(C9+C20)*0.1</f>
        <v>624.90000000000009</v>
      </c>
      <c r="D40" s="90">
        <f>(D9+D20)*0.1</f>
        <v>218.75</v>
      </c>
    </row>
    <row r="41" spans="1:4" s="53" customFormat="1" ht="33">
      <c r="A41" s="84" t="s">
        <v>131</v>
      </c>
      <c r="B41" s="85" t="s">
        <v>132</v>
      </c>
      <c r="C41" s="86">
        <f>(C9+C21)*0.1</f>
        <v>649.90000000000009</v>
      </c>
      <c r="D41" s="86">
        <f>(D9+D21)*0.1</f>
        <v>227.5</v>
      </c>
    </row>
    <row r="42" spans="1:4" s="53" customFormat="1" ht="33">
      <c r="A42" s="88" t="s">
        <v>133</v>
      </c>
      <c r="B42" s="89" t="s">
        <v>134</v>
      </c>
      <c r="C42" s="90">
        <f>(C9+C22)*0.1</f>
        <v>849.90000000000009</v>
      </c>
      <c r="D42" s="90">
        <f>(D9+D22)*0.1</f>
        <v>297.5</v>
      </c>
    </row>
    <row r="43" spans="1:4" s="53" customFormat="1" ht="33">
      <c r="A43" s="84" t="s">
        <v>135</v>
      </c>
      <c r="B43" s="85" t="s">
        <v>136</v>
      </c>
      <c r="C43" s="86">
        <f>(C9+C23)*0.1</f>
        <v>1649.9</v>
      </c>
      <c r="D43" s="86">
        <f>(D9+D23)*0.1</f>
        <v>577.5</v>
      </c>
    </row>
    <row r="44" spans="1:4" s="53" customFormat="1" ht="33">
      <c r="A44" s="88" t="s">
        <v>137</v>
      </c>
      <c r="B44" s="89" t="s">
        <v>138</v>
      </c>
      <c r="C44" s="90">
        <f>(C9+C24)*0.1</f>
        <v>3249.9</v>
      </c>
      <c r="D44" s="90">
        <f>(D9+D24)*0.1</f>
        <v>1137.5</v>
      </c>
    </row>
    <row r="45" spans="1:4" s="53" customFormat="1" ht="33">
      <c r="A45" s="84" t="s">
        <v>139</v>
      </c>
      <c r="B45" s="85" t="s">
        <v>140</v>
      </c>
      <c r="C45" s="86">
        <f>(C9+C25)*0.1</f>
        <v>6449.9000000000005</v>
      </c>
      <c r="D45" s="86">
        <f>(D9+D25)*0.1</f>
        <v>2257.5</v>
      </c>
    </row>
    <row r="46" spans="1:4" s="53" customFormat="1" ht="33">
      <c r="A46" s="88" t="s">
        <v>141</v>
      </c>
      <c r="B46" s="89" t="s">
        <v>142</v>
      </c>
      <c r="C46" s="90">
        <f>(C9+C26)*0.1</f>
        <v>12849.900000000001</v>
      </c>
      <c r="D46" s="90">
        <f>(D9+D26)*0.1</f>
        <v>4497.5</v>
      </c>
    </row>
    <row r="47" spans="1:4" s="53" customFormat="1" ht="20.25" thickBot="1">
      <c r="A47" s="91" t="s">
        <v>143</v>
      </c>
    </row>
    <row r="48" spans="1:4" s="53" customFormat="1" ht="20.25" thickBot="1">
      <c r="A48" s="70" t="s">
        <v>31</v>
      </c>
      <c r="B48" s="70" t="s">
        <v>0</v>
      </c>
      <c r="C48" s="92" t="s">
        <v>82</v>
      </c>
      <c r="D48" s="93" t="s">
        <v>83</v>
      </c>
    </row>
    <row r="49" spans="1:4" s="53" customFormat="1" ht="16.5">
      <c r="A49" s="84" t="s">
        <v>144</v>
      </c>
      <c r="B49" s="85" t="s">
        <v>145</v>
      </c>
      <c r="C49" s="94">
        <f>C9*0.2</f>
        <v>199.8</v>
      </c>
      <c r="D49" s="94">
        <f t="shared" ref="D49" si="1">D9*0.2</f>
        <v>70</v>
      </c>
    </row>
    <row r="50" spans="1:4" s="53" customFormat="1" ht="16.5">
      <c r="A50" s="88" t="s">
        <v>146</v>
      </c>
      <c r="B50" s="89" t="s">
        <v>147</v>
      </c>
      <c r="C50" s="90">
        <f>(C9+C14)*0.2</f>
        <v>349.8</v>
      </c>
      <c r="D50" s="90">
        <f t="shared" ref="D50" si="2">(D9+D14)*0.2</f>
        <v>122.5</v>
      </c>
    </row>
    <row r="51" spans="1:4" s="53" customFormat="1" ht="16.5">
      <c r="A51" s="84" t="s">
        <v>148</v>
      </c>
      <c r="B51" s="85" t="s">
        <v>149</v>
      </c>
      <c r="C51" s="86">
        <f>(C9+C15)*0.2</f>
        <v>499.8</v>
      </c>
      <c r="D51" s="86">
        <f t="shared" ref="D51" si="3">(D9+D15)*0.2</f>
        <v>175</v>
      </c>
    </row>
    <row r="52" spans="1:4" s="53" customFormat="1" ht="16.5">
      <c r="A52" s="88" t="s">
        <v>150</v>
      </c>
      <c r="B52" s="89" t="s">
        <v>151</v>
      </c>
      <c r="C52" s="90">
        <f>(C9+C16)*0.2</f>
        <v>649.80000000000007</v>
      </c>
      <c r="D52" s="90">
        <f t="shared" ref="D52" si="4">(D9+D16)*0.2</f>
        <v>227.5</v>
      </c>
    </row>
    <row r="53" spans="1:4" s="53" customFormat="1" ht="16.5">
      <c r="A53" s="84" t="s">
        <v>152</v>
      </c>
      <c r="B53" s="85" t="s">
        <v>153</v>
      </c>
      <c r="C53" s="86">
        <f>(C9+C17)*0.2</f>
        <v>799.80000000000007</v>
      </c>
      <c r="D53" s="86">
        <f t="shared" ref="D53" si="5">(D9+D17)*0.2</f>
        <v>280</v>
      </c>
    </row>
    <row r="54" spans="1:4" s="53" customFormat="1" ht="16.5">
      <c r="A54" s="88" t="s">
        <v>154</v>
      </c>
      <c r="B54" s="89" t="s">
        <v>155</v>
      </c>
      <c r="C54" s="90">
        <f>(C9+C18)*0.2</f>
        <v>949.80000000000007</v>
      </c>
      <c r="D54" s="90">
        <f t="shared" ref="D54" si="6">(D9+D18)*0.2</f>
        <v>332.5</v>
      </c>
    </row>
    <row r="55" spans="1:4" s="53" customFormat="1" ht="16.5">
      <c r="A55" s="84" t="s">
        <v>156</v>
      </c>
      <c r="B55" s="85" t="s">
        <v>157</v>
      </c>
      <c r="C55" s="86">
        <f>(C9+C19)*0.2</f>
        <v>1099.8</v>
      </c>
      <c r="D55" s="86">
        <f t="shared" ref="D55" si="7">(D9+D19)*0.2</f>
        <v>385</v>
      </c>
    </row>
    <row r="56" spans="1:4" s="53" customFormat="1" ht="16.5">
      <c r="A56" s="88" t="s">
        <v>158</v>
      </c>
      <c r="B56" s="89" t="s">
        <v>159</v>
      </c>
      <c r="C56" s="90">
        <f>(C9+C20)*0.2</f>
        <v>1249.8000000000002</v>
      </c>
      <c r="D56" s="90">
        <f t="shared" ref="D56" si="8">(D9+D20)*0.2</f>
        <v>437.5</v>
      </c>
    </row>
    <row r="57" spans="1:4" s="53" customFormat="1" ht="16.5">
      <c r="A57" s="84" t="s">
        <v>160</v>
      </c>
      <c r="B57" s="85" t="s">
        <v>161</v>
      </c>
      <c r="C57" s="86">
        <f>(C9+C21)*0.2</f>
        <v>1299.8000000000002</v>
      </c>
      <c r="D57" s="86">
        <f t="shared" ref="D57" si="9">(D9+D21)*0.2</f>
        <v>455</v>
      </c>
    </row>
    <row r="58" spans="1:4" s="53" customFormat="1" ht="16.5">
      <c r="A58" s="88" t="s">
        <v>162</v>
      </c>
      <c r="B58" s="89" t="s">
        <v>163</v>
      </c>
      <c r="C58" s="90">
        <f>(C9+C22)*0.2</f>
        <v>1699.8000000000002</v>
      </c>
      <c r="D58" s="90">
        <f t="shared" ref="D58" si="10">(D9+D22)*0.2</f>
        <v>595</v>
      </c>
    </row>
    <row r="59" spans="1:4" s="53" customFormat="1" ht="16.5">
      <c r="A59" s="84" t="s">
        <v>164</v>
      </c>
      <c r="B59" s="85" t="s">
        <v>165</v>
      </c>
      <c r="C59" s="86">
        <f>(C9+C23)*0.2</f>
        <v>3299.8</v>
      </c>
      <c r="D59" s="86">
        <f t="shared" ref="D59" si="11">(D9+D23)*0.2</f>
        <v>1155</v>
      </c>
    </row>
    <row r="60" spans="1:4" s="51" customFormat="1" ht="16.5">
      <c r="A60" s="88" t="s">
        <v>166</v>
      </c>
      <c r="B60" s="89" t="s">
        <v>167</v>
      </c>
      <c r="C60" s="90">
        <f>(C9+C24)*0.2</f>
        <v>6499.8</v>
      </c>
      <c r="D60" s="90">
        <f t="shared" ref="D60" si="12">(D9+D24)*0.2</f>
        <v>2275</v>
      </c>
    </row>
    <row r="61" spans="1:4" s="52" customFormat="1" ht="16.5">
      <c r="A61" s="84" t="s">
        <v>168</v>
      </c>
      <c r="B61" s="85" t="s">
        <v>169</v>
      </c>
      <c r="C61" s="86">
        <f>(C9+C25)*0.2</f>
        <v>12899.800000000001</v>
      </c>
      <c r="D61" s="86">
        <f t="shared" ref="D61" si="13">(D9+D25)*0.2</f>
        <v>4515</v>
      </c>
    </row>
    <row r="62" spans="1:4" s="53" customFormat="1" ht="16.5">
      <c r="A62" s="88" t="s">
        <v>170</v>
      </c>
      <c r="B62" s="89" t="s">
        <v>171</v>
      </c>
      <c r="C62" s="90">
        <f>(C9+C26)*0.2</f>
        <v>25699.800000000003</v>
      </c>
      <c r="D62" s="90">
        <f>(D9+D26)*0.2</f>
        <v>8995</v>
      </c>
    </row>
    <row r="63" spans="1:4" s="53" customFormat="1" ht="24">
      <c r="A63" s="95" t="s">
        <v>172</v>
      </c>
      <c r="C63" s="96"/>
    </row>
    <row r="64" spans="1:4" s="53" customFormat="1" ht="15" customHeight="1" thickBot="1">
      <c r="A64" s="209" t="s">
        <v>173</v>
      </c>
      <c r="B64" s="210"/>
      <c r="C64" s="96"/>
    </row>
    <row r="65" spans="1:4" s="53" customFormat="1" ht="20.25" thickBot="1">
      <c r="A65" s="70" t="s">
        <v>31</v>
      </c>
      <c r="B65" s="70" t="s">
        <v>0</v>
      </c>
      <c r="C65" s="60" t="s">
        <v>82</v>
      </c>
      <c r="D65" s="61" t="s">
        <v>83</v>
      </c>
    </row>
    <row r="66" spans="1:4" s="53" customFormat="1" ht="82.5">
      <c r="A66" s="97" t="s">
        <v>174</v>
      </c>
      <c r="B66" s="97" t="s">
        <v>175</v>
      </c>
      <c r="C66" s="98">
        <v>995</v>
      </c>
      <c r="D66" s="99">
        <f>C66-(C66*0.65)</f>
        <v>348.25</v>
      </c>
    </row>
    <row r="67" spans="1:4" s="53" customFormat="1" ht="16.5">
      <c r="A67" s="66" t="s">
        <v>176</v>
      </c>
      <c r="B67" s="67" t="s">
        <v>177</v>
      </c>
      <c r="C67" s="68">
        <f>C66*0.1</f>
        <v>99.5</v>
      </c>
      <c r="D67" s="90">
        <f>D66*0.1</f>
        <v>34.825000000000003</v>
      </c>
    </row>
    <row r="68" spans="1:4" s="53" customFormat="1" ht="24.75" thickBot="1">
      <c r="A68" s="100" t="s">
        <v>178</v>
      </c>
      <c r="B68" s="101"/>
    </row>
    <row r="69" spans="1:4" s="53" customFormat="1" ht="20.25" thickBot="1">
      <c r="A69" s="70" t="s">
        <v>31</v>
      </c>
      <c r="B69" s="70" t="s">
        <v>0</v>
      </c>
      <c r="C69" s="60" t="s">
        <v>82</v>
      </c>
      <c r="D69" s="61" t="s">
        <v>83</v>
      </c>
    </row>
    <row r="70" spans="1:4" s="53" customFormat="1" ht="16.5">
      <c r="A70" s="102" t="s">
        <v>41</v>
      </c>
      <c r="B70" s="103" t="s">
        <v>309</v>
      </c>
      <c r="C70" s="94">
        <v>3950</v>
      </c>
      <c r="D70" s="99">
        <f>C70-(C70*0.65)</f>
        <v>1382.5</v>
      </c>
    </row>
    <row r="71" spans="1:4" s="53" customFormat="1" ht="16.5">
      <c r="A71" s="88" t="s">
        <v>179</v>
      </c>
      <c r="B71" s="67" t="s">
        <v>180</v>
      </c>
      <c r="C71" s="68">
        <f>C70*0.1</f>
        <v>395</v>
      </c>
      <c r="D71" s="90">
        <f>D70*0.1</f>
        <v>138.25</v>
      </c>
    </row>
    <row r="72" spans="1:4" s="53" customFormat="1" ht="24.75" thickBot="1">
      <c r="A72" s="100" t="s">
        <v>242</v>
      </c>
      <c r="B72" s="101"/>
    </row>
    <row r="73" spans="1:4" s="53" customFormat="1" ht="20.25" thickBot="1">
      <c r="A73" s="70" t="s">
        <v>31</v>
      </c>
      <c r="B73" s="70" t="s">
        <v>0</v>
      </c>
      <c r="C73" s="60" t="s">
        <v>82</v>
      </c>
      <c r="D73" s="61" t="s">
        <v>83</v>
      </c>
    </row>
    <row r="74" spans="1:4" s="53" customFormat="1" ht="16.5">
      <c r="A74" s="102" t="s">
        <v>39</v>
      </c>
      <c r="B74" s="103" t="s">
        <v>243</v>
      </c>
      <c r="C74" s="94">
        <v>395</v>
      </c>
      <c r="D74" s="99">
        <f>C74-(C74*0.65)</f>
        <v>138.25</v>
      </c>
    </row>
    <row r="75" spans="1:4" s="53" customFormat="1" ht="16.5">
      <c r="A75" s="88" t="s">
        <v>244</v>
      </c>
      <c r="B75" s="67" t="s">
        <v>245</v>
      </c>
      <c r="C75" s="68">
        <f>C74*0.1</f>
        <v>39.5</v>
      </c>
      <c r="D75" s="90">
        <f>D74*0.1</f>
        <v>13.825000000000001</v>
      </c>
    </row>
    <row r="76" spans="1:4" s="53" customFormat="1" ht="24.75" thickBot="1">
      <c r="A76" s="100" t="s">
        <v>291</v>
      </c>
      <c r="B76" s="101"/>
    </row>
    <row r="77" spans="1:4" s="53" customFormat="1" ht="20.25" thickBot="1">
      <c r="A77" s="70" t="s">
        <v>31</v>
      </c>
      <c r="B77" s="70" t="s">
        <v>0</v>
      </c>
      <c r="C77" s="60" t="s">
        <v>82</v>
      </c>
      <c r="D77" s="61" t="s">
        <v>83</v>
      </c>
    </row>
    <row r="78" spans="1:4" s="53" customFormat="1" ht="16.5">
      <c r="A78" s="102" t="s">
        <v>292</v>
      </c>
      <c r="B78" s="103" t="s">
        <v>295</v>
      </c>
      <c r="C78" s="94">
        <v>395</v>
      </c>
      <c r="D78" s="99">
        <f>C78-(C78*0.65)</f>
        <v>138.25</v>
      </c>
    </row>
    <row r="79" spans="1:4" s="53" customFormat="1" ht="16.5">
      <c r="A79" s="88" t="s">
        <v>293</v>
      </c>
      <c r="B79" s="67" t="s">
        <v>294</v>
      </c>
      <c r="C79" s="68">
        <f>C78*0.1</f>
        <v>39.5</v>
      </c>
      <c r="D79" s="90">
        <f>D78*0.1</f>
        <v>13.825000000000001</v>
      </c>
    </row>
    <row r="80" spans="1:4" s="53" customFormat="1" ht="24.75" thickBot="1">
      <c r="A80" s="100" t="s">
        <v>181</v>
      </c>
      <c r="B80" s="101"/>
    </row>
    <row r="81" spans="1:4" s="53" customFormat="1" ht="20.25" thickBot="1">
      <c r="A81" s="70" t="s">
        <v>31</v>
      </c>
      <c r="B81" s="70" t="s">
        <v>0</v>
      </c>
      <c r="C81" s="60" t="s">
        <v>82</v>
      </c>
      <c r="D81" s="61" t="s">
        <v>83</v>
      </c>
    </row>
    <row r="82" spans="1:4" s="53" customFormat="1" ht="40.5" customHeight="1">
      <c r="A82" s="84" t="s">
        <v>182</v>
      </c>
      <c r="B82" s="63" t="s">
        <v>183</v>
      </c>
      <c r="C82" s="64">
        <v>3711.2</v>
      </c>
      <c r="D82" s="65">
        <f>C82-(C82*0.65)</f>
        <v>1298.92</v>
      </c>
    </row>
    <row r="83" spans="1:4" s="53" customFormat="1" ht="16.5">
      <c r="A83" s="88" t="s">
        <v>184</v>
      </c>
      <c r="B83" s="89" t="s">
        <v>185</v>
      </c>
      <c r="C83" s="68">
        <f>C82*0.1</f>
        <v>371.12</v>
      </c>
      <c r="D83" s="90">
        <f>D82*0.1</f>
        <v>129.89200000000002</v>
      </c>
    </row>
    <row r="84" spans="1:4" s="87" customFormat="1" ht="16.5">
      <c r="A84" s="104"/>
      <c r="B84" s="105"/>
      <c r="C84" s="106"/>
      <c r="D84" s="106"/>
    </row>
    <row r="85" spans="1:4" s="52" customFormat="1" ht="33.75">
      <c r="A85" s="206" t="s">
        <v>80</v>
      </c>
      <c r="B85" s="207"/>
      <c r="C85" s="207"/>
      <c r="D85" s="207"/>
    </row>
    <row r="86" spans="1:4" s="53" customFormat="1">
      <c r="A86" s="208" t="s">
        <v>302</v>
      </c>
      <c r="B86" s="208"/>
      <c r="C86" s="208"/>
      <c r="D86" s="203"/>
    </row>
    <row r="87" spans="1:4" s="55" customFormat="1" ht="16.5" thickBot="1">
      <c r="A87" s="199" t="s">
        <v>81</v>
      </c>
      <c r="B87" s="200"/>
      <c r="C87" s="54"/>
    </row>
    <row r="88" spans="1:4" s="53" customFormat="1" ht="13.5" thickBot="1">
      <c r="A88" s="107"/>
      <c r="B88" s="108"/>
      <c r="C88" s="108"/>
      <c r="D88" s="109"/>
    </row>
    <row r="89" spans="1:4" s="53" customFormat="1" ht="24">
      <c r="A89" s="201" t="s">
        <v>186</v>
      </c>
      <c r="B89" s="201"/>
    </row>
    <row r="90" spans="1:4" s="53" customFormat="1" ht="20.25" thickBot="1">
      <c r="A90" s="110" t="s">
        <v>4</v>
      </c>
      <c r="C90" s="202" t="s">
        <v>187</v>
      </c>
      <c r="D90" s="203"/>
    </row>
    <row r="91" spans="1:4" s="53" customFormat="1" ht="20.25" thickBot="1">
      <c r="A91" s="70" t="s">
        <v>31</v>
      </c>
      <c r="B91" s="70" t="s">
        <v>0</v>
      </c>
      <c r="C91" s="92" t="s">
        <v>82</v>
      </c>
      <c r="D91" s="93" t="s">
        <v>83</v>
      </c>
    </row>
    <row r="92" spans="1:4" s="53" customFormat="1" ht="165">
      <c r="A92" s="97" t="s">
        <v>287</v>
      </c>
      <c r="B92" s="111" t="s">
        <v>308</v>
      </c>
      <c r="C92" s="98">
        <f>C9*2.5</f>
        <v>2497.5</v>
      </c>
      <c r="D92" s="99">
        <f>C92-(C92*0.65)</f>
        <v>874.125</v>
      </c>
    </row>
    <row r="93" spans="1:4" s="53" customFormat="1" ht="20.25" thickBot="1">
      <c r="A93" s="83" t="s">
        <v>188</v>
      </c>
    </row>
    <row r="94" spans="1:4" s="53" customFormat="1" ht="20.25" thickBot="1">
      <c r="A94" s="70" t="s">
        <v>31</v>
      </c>
      <c r="B94" s="70" t="s">
        <v>0</v>
      </c>
      <c r="C94" s="204" t="s">
        <v>189</v>
      </c>
      <c r="D94" s="205"/>
    </row>
    <row r="95" spans="1:4" s="53" customFormat="1" ht="49.5">
      <c r="A95" s="97" t="s">
        <v>42</v>
      </c>
      <c r="B95" s="111" t="s">
        <v>190</v>
      </c>
      <c r="C95" s="98">
        <f>750*2.5</f>
        <v>1875</v>
      </c>
      <c r="D95" s="99">
        <f t="shared" ref="D95:D96" si="14">C95-(C95*0.65)</f>
        <v>656.25</v>
      </c>
    </row>
    <row r="96" spans="1:4" s="53" customFormat="1" ht="49.5">
      <c r="A96" s="112" t="s">
        <v>191</v>
      </c>
      <c r="B96" s="113" t="s">
        <v>192</v>
      </c>
      <c r="C96" s="114">
        <f>(750*2.5)*2</f>
        <v>3750</v>
      </c>
      <c r="D96" s="73">
        <f t="shared" si="14"/>
        <v>1312.5</v>
      </c>
    </row>
    <row r="97" spans="1:4" s="53" customFormat="1" ht="49.5">
      <c r="A97" s="62" t="s">
        <v>193</v>
      </c>
      <c r="B97" s="63" t="s">
        <v>194</v>
      </c>
      <c r="C97" s="98">
        <f>(750*2.5)*3</f>
        <v>5625</v>
      </c>
      <c r="D97" s="65">
        <f>C97-(C97*0.65)</f>
        <v>1968.75</v>
      </c>
    </row>
    <row r="98" spans="1:4" s="53" customFormat="1" ht="20.25" thickBot="1">
      <c r="A98" s="83" t="s">
        <v>195</v>
      </c>
      <c r="C98" s="96"/>
    </row>
    <row r="99" spans="1:4" s="53" customFormat="1" ht="20.25" thickBot="1">
      <c r="A99" s="70" t="s">
        <v>31</v>
      </c>
      <c r="B99" s="70" t="s">
        <v>0</v>
      </c>
      <c r="C99" s="60" t="s">
        <v>82</v>
      </c>
      <c r="D99" s="61" t="s">
        <v>83</v>
      </c>
    </row>
    <row r="100" spans="1:4" s="53" customFormat="1" ht="33">
      <c r="A100" s="97" t="s">
        <v>196</v>
      </c>
      <c r="B100" s="111" t="s">
        <v>197</v>
      </c>
      <c r="C100" s="94">
        <f>C92*0.1</f>
        <v>249.75</v>
      </c>
      <c r="D100" s="94">
        <f t="shared" ref="D100" si="15">D92*0.1</f>
        <v>87.412500000000009</v>
      </c>
    </row>
    <row r="101" spans="1:4" s="53" customFormat="1" ht="33">
      <c r="A101" s="112" t="s">
        <v>198</v>
      </c>
      <c r="B101" s="113" t="s">
        <v>199</v>
      </c>
      <c r="C101" s="116">
        <f>(C92+C95)*0.1</f>
        <v>437.25</v>
      </c>
      <c r="D101" s="116">
        <f t="shared" ref="D101" si="16">(D92+D95)*0.1</f>
        <v>153.03749999999999</v>
      </c>
    </row>
    <row r="102" spans="1:4" s="53" customFormat="1" ht="33">
      <c r="A102" s="62" t="s">
        <v>200</v>
      </c>
      <c r="B102" s="63" t="s">
        <v>201</v>
      </c>
      <c r="C102" s="86">
        <f>(C92+C96)*0.1</f>
        <v>624.75</v>
      </c>
      <c r="D102" s="86">
        <f t="shared" ref="D102" si="17">(D92+D96)*0.1</f>
        <v>218.66250000000002</v>
      </c>
    </row>
    <row r="103" spans="1:4" s="53" customFormat="1" ht="33">
      <c r="A103" s="66" t="s">
        <v>202</v>
      </c>
      <c r="B103" s="67" t="s">
        <v>203</v>
      </c>
      <c r="C103" s="90">
        <f>(C92+C97)*0.1</f>
        <v>812.25</v>
      </c>
      <c r="D103" s="90">
        <f t="shared" ref="D103" si="18">(D92+D97)*0.1</f>
        <v>284.28750000000002</v>
      </c>
    </row>
    <row r="104" spans="1:4" s="53" customFormat="1" ht="16.5">
      <c r="A104" s="97" t="s">
        <v>204</v>
      </c>
      <c r="B104" s="111" t="s">
        <v>205</v>
      </c>
      <c r="C104" s="94">
        <f>C92*0.2</f>
        <v>499.5</v>
      </c>
      <c r="D104" s="94">
        <f t="shared" ref="D104" si="19">D92*0.2</f>
        <v>174.82500000000002</v>
      </c>
    </row>
    <row r="105" spans="1:4" s="53" customFormat="1" ht="16.5">
      <c r="A105" s="112" t="s">
        <v>206</v>
      </c>
      <c r="B105" s="113" t="s">
        <v>207</v>
      </c>
      <c r="C105" s="116">
        <f>(C92+C95)*0.2</f>
        <v>874.5</v>
      </c>
      <c r="D105" s="116">
        <f t="shared" ref="D105" si="20">(D92+D95)*0.2</f>
        <v>306.07499999999999</v>
      </c>
    </row>
    <row r="106" spans="1:4" s="53" customFormat="1" ht="16.5">
      <c r="A106" s="62" t="s">
        <v>208</v>
      </c>
      <c r="B106" s="63" t="s">
        <v>209</v>
      </c>
      <c r="C106" s="86">
        <f>(C92+C96)*0.1</f>
        <v>624.75</v>
      </c>
      <c r="D106" s="86">
        <f t="shared" ref="D106" si="21">(D92+D96)*0.1</f>
        <v>218.66250000000002</v>
      </c>
    </row>
    <row r="107" spans="1:4" s="53" customFormat="1" ht="16.5">
      <c r="A107" s="66" t="s">
        <v>210</v>
      </c>
      <c r="B107" s="67" t="s">
        <v>211</v>
      </c>
      <c r="C107" s="90">
        <f>(C92+C97)*0.2</f>
        <v>1624.5</v>
      </c>
      <c r="D107" s="90">
        <f t="shared" ref="D107" si="22">(D92+D97)*0.2</f>
        <v>568.57500000000005</v>
      </c>
    </row>
    <row r="108" spans="1:4" s="53" customFormat="1" ht="24.75" thickBot="1">
      <c r="A108" s="100" t="s">
        <v>212</v>
      </c>
      <c r="C108" s="96"/>
    </row>
    <row r="109" spans="1:4" s="53" customFormat="1" ht="20.25" thickBot="1">
      <c r="A109" s="70" t="s">
        <v>31</v>
      </c>
      <c r="B109" s="70" t="s">
        <v>0</v>
      </c>
      <c r="C109" s="60" t="s">
        <v>82</v>
      </c>
      <c r="D109" s="61" t="s">
        <v>83</v>
      </c>
    </row>
    <row r="110" spans="1:4" s="53" customFormat="1" ht="82.5">
      <c r="A110" s="62" t="s">
        <v>45</v>
      </c>
      <c r="B110" s="63" t="s">
        <v>213</v>
      </c>
      <c r="C110" s="64">
        <v>4500</v>
      </c>
      <c r="D110" s="65">
        <f>C110-(C110*0.65)</f>
        <v>1575</v>
      </c>
    </row>
    <row r="111" spans="1:4" s="53" customFormat="1" ht="16.5">
      <c r="A111" s="112" t="s">
        <v>214</v>
      </c>
      <c r="B111" s="113" t="s">
        <v>215</v>
      </c>
      <c r="C111" s="114">
        <v>1000</v>
      </c>
      <c r="D111" s="73">
        <f t="shared" ref="D111" si="23">C111-(C111*0.65)</f>
        <v>350</v>
      </c>
    </row>
    <row r="112" spans="1:4" s="53" customFormat="1" ht="24.75" thickBot="1">
      <c r="A112" s="117" t="s">
        <v>216</v>
      </c>
      <c r="B112" s="118"/>
      <c r="C112" s="115"/>
    </row>
    <row r="113" spans="1:4" s="53" customFormat="1" ht="20.25" thickBot="1">
      <c r="A113" s="70" t="s">
        <v>31</v>
      </c>
      <c r="B113" s="70" t="s">
        <v>0</v>
      </c>
      <c r="C113" s="60" t="s">
        <v>82</v>
      </c>
      <c r="D113" s="61" t="s">
        <v>83</v>
      </c>
    </row>
    <row r="114" spans="1:4" s="53" customFormat="1" ht="16.5">
      <c r="A114" s="119" t="s">
        <v>217</v>
      </c>
      <c r="B114" s="111" t="s">
        <v>218</v>
      </c>
      <c r="C114" s="99">
        <v>750</v>
      </c>
      <c r="D114" s="99" t="s">
        <v>219</v>
      </c>
    </row>
    <row r="115" spans="1:4" s="53" customFormat="1" ht="16.5">
      <c r="A115" s="76" t="s">
        <v>220</v>
      </c>
      <c r="B115" s="66" t="s">
        <v>221</v>
      </c>
      <c r="C115" s="69" t="s">
        <v>219</v>
      </c>
      <c r="D115" s="69">
        <v>100</v>
      </c>
    </row>
    <row r="116" spans="1:4" s="53" customFormat="1" ht="16.5">
      <c r="A116" s="74" t="s">
        <v>222</v>
      </c>
      <c r="B116" s="63" t="s">
        <v>223</v>
      </c>
      <c r="C116" s="65">
        <v>2500</v>
      </c>
      <c r="D116" s="65">
        <v>2500</v>
      </c>
    </row>
    <row r="117" spans="1:4" s="53" customFormat="1" ht="16.5">
      <c r="A117" s="76" t="s">
        <v>224</v>
      </c>
      <c r="B117" s="66" t="s">
        <v>225</v>
      </c>
      <c r="C117" s="69">
        <v>3500</v>
      </c>
      <c r="D117" s="69">
        <v>3500</v>
      </c>
    </row>
    <row r="118" spans="1:4" s="53" customFormat="1" ht="16.5">
      <c r="A118" s="74" t="s">
        <v>226</v>
      </c>
      <c r="B118" s="62" t="s">
        <v>227</v>
      </c>
      <c r="C118" s="65">
        <v>2995</v>
      </c>
      <c r="D118" s="65">
        <v>2995</v>
      </c>
    </row>
    <row r="119" spans="1:4" s="53" customFormat="1" ht="16.5">
      <c r="A119" s="76" t="s">
        <v>228</v>
      </c>
      <c r="B119" s="66" t="s">
        <v>229</v>
      </c>
      <c r="C119" s="69">
        <v>4950</v>
      </c>
      <c r="D119" s="69">
        <v>4950</v>
      </c>
    </row>
    <row r="120" spans="1:4" ht="33">
      <c r="A120" s="74" t="s">
        <v>230</v>
      </c>
      <c r="B120" s="62" t="s">
        <v>231</v>
      </c>
      <c r="C120" s="65">
        <v>8950</v>
      </c>
      <c r="D120" s="65">
        <v>8950</v>
      </c>
    </row>
    <row r="121" spans="1:4" ht="16.5">
      <c r="A121" s="76" t="s">
        <v>232</v>
      </c>
      <c r="B121" s="67" t="s">
        <v>233</v>
      </c>
      <c r="C121" s="69">
        <v>450</v>
      </c>
      <c r="D121" s="69">
        <v>450</v>
      </c>
    </row>
    <row r="122" spans="1:4" ht="16.5">
      <c r="A122" s="74" t="s">
        <v>234</v>
      </c>
      <c r="B122" s="63" t="s">
        <v>235</v>
      </c>
      <c r="C122" s="65">
        <v>5950</v>
      </c>
      <c r="D122" s="65">
        <v>5950</v>
      </c>
    </row>
    <row r="123" spans="1:4" ht="16.5">
      <c r="A123" s="76" t="s">
        <v>236</v>
      </c>
      <c r="B123" s="67" t="s">
        <v>237</v>
      </c>
      <c r="C123" s="69">
        <v>1950</v>
      </c>
      <c r="D123" s="69">
        <v>1950</v>
      </c>
    </row>
    <row r="124" spans="1:4" ht="16.5">
      <c r="A124" s="74" t="s">
        <v>238</v>
      </c>
      <c r="B124" s="63" t="s">
        <v>239</v>
      </c>
      <c r="C124" s="65">
        <v>9950</v>
      </c>
      <c r="D124" s="65">
        <v>9950</v>
      </c>
    </row>
    <row r="125" spans="1:4">
      <c r="D125" s="122"/>
    </row>
    <row r="126" spans="1:4">
      <c r="D126" s="122"/>
    </row>
    <row r="127" spans="1:4">
      <c r="D127" s="122"/>
    </row>
    <row r="128" spans="1:4">
      <c r="D128" s="122"/>
    </row>
    <row r="129" spans="4:4">
      <c r="D129" s="122"/>
    </row>
    <row r="130" spans="4:4">
      <c r="D130" s="122"/>
    </row>
    <row r="131" spans="4:4">
      <c r="D131" s="122"/>
    </row>
    <row r="132" spans="4:4">
      <c r="D132" s="122"/>
    </row>
    <row r="133" spans="4:4">
      <c r="D133" s="122"/>
    </row>
    <row r="134" spans="4:4">
      <c r="D134" s="122"/>
    </row>
    <row r="135" spans="4:4">
      <c r="D135" s="122"/>
    </row>
    <row r="136" spans="4:4">
      <c r="D136" s="122"/>
    </row>
    <row r="137" spans="4:4">
      <c r="D137" s="122"/>
    </row>
    <row r="138" spans="4:4">
      <c r="D138" s="122"/>
    </row>
    <row r="139" spans="4:4">
      <c r="D139" s="122"/>
    </row>
    <row r="140" spans="4:4">
      <c r="D140" s="122"/>
    </row>
    <row r="141" spans="4:4">
      <c r="D141" s="122"/>
    </row>
    <row r="142" spans="4:4">
      <c r="D142" s="122"/>
    </row>
    <row r="143" spans="4:4">
      <c r="D143" s="122"/>
    </row>
    <row r="144" spans="4:4">
      <c r="D144" s="122"/>
    </row>
    <row r="145" spans="4:4">
      <c r="D145" s="122"/>
    </row>
    <row r="146" spans="4:4">
      <c r="D146" s="122"/>
    </row>
    <row r="147" spans="4:4">
      <c r="D147" s="122"/>
    </row>
    <row r="148" spans="4:4">
      <c r="D148" s="122"/>
    </row>
    <row r="149" spans="4:4">
      <c r="D149" s="122"/>
    </row>
    <row r="150" spans="4:4">
      <c r="D150" s="122"/>
    </row>
    <row r="151" spans="4:4">
      <c r="D151" s="122"/>
    </row>
    <row r="152" spans="4:4">
      <c r="D152" s="122"/>
    </row>
    <row r="153" spans="4:4">
      <c r="D153" s="122"/>
    </row>
    <row r="154" spans="4:4">
      <c r="D154" s="122"/>
    </row>
    <row r="155" spans="4:4">
      <c r="D155" s="122"/>
    </row>
    <row r="156" spans="4:4">
      <c r="D156" s="122"/>
    </row>
    <row r="157" spans="4:4">
      <c r="D157" s="122"/>
    </row>
    <row r="158" spans="4:4">
      <c r="D158" s="122"/>
    </row>
    <row r="159" spans="4:4">
      <c r="D159" s="122"/>
    </row>
    <row r="160" spans="4:4">
      <c r="D160" s="122"/>
    </row>
    <row r="161" spans="4:4">
      <c r="D161" s="122"/>
    </row>
    <row r="162" spans="4:4">
      <c r="D162" s="122"/>
    </row>
    <row r="163" spans="4:4">
      <c r="D163" s="122"/>
    </row>
    <row r="164" spans="4:4">
      <c r="D164" s="122"/>
    </row>
    <row r="165" spans="4:4">
      <c r="D165" s="122"/>
    </row>
    <row r="166" spans="4:4">
      <c r="D166" s="122"/>
    </row>
    <row r="167" spans="4:4">
      <c r="D167" s="122"/>
    </row>
    <row r="168" spans="4:4">
      <c r="D168" s="122"/>
    </row>
    <row r="169" spans="4:4">
      <c r="D169" s="122"/>
    </row>
    <row r="170" spans="4:4">
      <c r="D170" s="122"/>
    </row>
    <row r="171" spans="4:4">
      <c r="D171" s="122"/>
    </row>
    <row r="172" spans="4:4">
      <c r="D172" s="122"/>
    </row>
    <row r="173" spans="4:4">
      <c r="D173" s="122"/>
    </row>
    <row r="174" spans="4:4">
      <c r="D174" s="122"/>
    </row>
    <row r="175" spans="4:4">
      <c r="D175" s="122"/>
    </row>
    <row r="176" spans="4:4">
      <c r="D176" s="122"/>
    </row>
    <row r="177" spans="4:4">
      <c r="D177" s="122"/>
    </row>
    <row r="178" spans="4:4">
      <c r="D178" s="122"/>
    </row>
    <row r="179" spans="4:4">
      <c r="D179" s="122"/>
    </row>
  </sheetData>
  <sheetProtection sheet="1" objects="1" scenarios="1"/>
  <mergeCells count="16">
    <mergeCell ref="C13:D13"/>
    <mergeCell ref="A2:D2"/>
    <mergeCell ref="A3:D3"/>
    <mergeCell ref="A4:B4"/>
    <mergeCell ref="A5:D5"/>
    <mergeCell ref="A6:B6"/>
    <mergeCell ref="A87:B87"/>
    <mergeCell ref="A89:B89"/>
    <mergeCell ref="C90:D90"/>
    <mergeCell ref="C94:D94"/>
    <mergeCell ref="A28:D28"/>
    <mergeCell ref="A29:D29"/>
    <mergeCell ref="A30:B30"/>
    <mergeCell ref="A64:B64"/>
    <mergeCell ref="A85:D85"/>
    <mergeCell ref="A86:D8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F28"/>
  <sheetViews>
    <sheetView zoomScaleNormal="100" workbookViewId="0">
      <selection activeCell="J19" sqref="J19"/>
    </sheetView>
  </sheetViews>
  <sheetFormatPr defaultRowHeight="15"/>
  <cols>
    <col min="1" max="1" width="21.85546875" customWidth="1"/>
    <col min="2" max="2" width="14.42578125" customWidth="1"/>
    <col min="3" max="3" width="39.7109375" customWidth="1"/>
    <col min="4" max="4" width="15" customWidth="1"/>
    <col min="5" max="5" width="10.140625" bestFit="1" customWidth="1"/>
    <col min="6" max="6" width="27.7109375" customWidth="1"/>
  </cols>
  <sheetData>
    <row r="1" spans="1:6" ht="44.25" customHeight="1">
      <c r="A1" s="219" t="s">
        <v>297</v>
      </c>
      <c r="B1" s="220"/>
      <c r="C1" s="220"/>
      <c r="D1" s="220"/>
      <c r="E1" s="220"/>
      <c r="F1" s="220"/>
    </row>
    <row r="2" spans="1:6" s="176" customFormat="1" ht="30">
      <c r="A2" s="175" t="s">
        <v>30</v>
      </c>
      <c r="B2" s="175" t="s">
        <v>296</v>
      </c>
      <c r="C2" s="175" t="s">
        <v>0</v>
      </c>
      <c r="D2" s="175" t="s">
        <v>1</v>
      </c>
      <c r="E2" s="175" t="s">
        <v>2</v>
      </c>
      <c r="F2" s="175" t="s">
        <v>31</v>
      </c>
    </row>
    <row r="3" spans="1:6" s="133" customFormat="1" ht="15" customHeight="1"/>
    <row r="4" spans="1:6" s="5" customFormat="1" ht="15" customHeight="1">
      <c r="A4" s="24" t="s">
        <v>43</v>
      </c>
      <c r="B4" s="160"/>
      <c r="C4" s="160"/>
      <c r="D4" s="160"/>
      <c r="E4" s="160"/>
      <c r="F4" s="160"/>
    </row>
    <row r="5" spans="1:6" s="178" customFormat="1" ht="15" customHeight="1">
      <c r="A5" s="178" t="s">
        <v>3</v>
      </c>
      <c r="B5" s="178" t="s">
        <v>33</v>
      </c>
      <c r="C5" s="179" t="s">
        <v>4</v>
      </c>
      <c r="D5" s="180" t="s">
        <v>34</v>
      </c>
      <c r="E5" s="181">
        <v>999</v>
      </c>
      <c r="F5" s="182" t="s">
        <v>32</v>
      </c>
    </row>
    <row r="6" spans="1:6" s="133" customFormat="1" ht="15" customHeight="1">
      <c r="A6" s="162" t="s">
        <v>11</v>
      </c>
      <c r="B6" s="162" t="s">
        <v>33</v>
      </c>
      <c r="C6" s="163" t="s">
        <v>47</v>
      </c>
      <c r="D6" s="177" t="s">
        <v>36</v>
      </c>
      <c r="E6" s="164">
        <v>750</v>
      </c>
      <c r="F6" s="170" t="s">
        <v>37</v>
      </c>
    </row>
    <row r="7" spans="1:6" s="178" customFormat="1" ht="15" customHeight="1">
      <c r="A7" s="178" t="s">
        <v>14</v>
      </c>
      <c r="B7" s="178" t="s">
        <v>33</v>
      </c>
      <c r="C7" s="179" t="s">
        <v>48</v>
      </c>
      <c r="D7" s="180" t="s">
        <v>36</v>
      </c>
      <c r="E7" s="181">
        <v>500</v>
      </c>
      <c r="F7" s="183" t="s">
        <v>38</v>
      </c>
    </row>
    <row r="8" spans="1:6" s="133" customFormat="1" ht="15" customHeight="1">
      <c r="A8" s="162" t="s">
        <v>35</v>
      </c>
      <c r="B8" s="162" t="s">
        <v>33</v>
      </c>
      <c r="C8" s="163" t="s">
        <v>46</v>
      </c>
      <c r="D8" s="177" t="s">
        <v>34</v>
      </c>
      <c r="E8" s="164">
        <v>395</v>
      </c>
      <c r="F8" s="171" t="s">
        <v>39</v>
      </c>
    </row>
    <row r="9" spans="1:6" s="178" customFormat="1" ht="15" customHeight="1">
      <c r="A9" s="178" t="s">
        <v>7</v>
      </c>
      <c r="B9" s="178" t="s">
        <v>33</v>
      </c>
      <c r="C9" s="179" t="s">
        <v>8</v>
      </c>
      <c r="D9" s="180" t="s">
        <v>34</v>
      </c>
      <c r="E9" s="181">
        <v>995</v>
      </c>
      <c r="F9" s="184" t="s">
        <v>40</v>
      </c>
    </row>
    <row r="10" spans="1:6" s="133" customFormat="1" ht="15" customHeight="1">
      <c r="A10" s="162" t="s">
        <v>9</v>
      </c>
      <c r="B10" s="162" t="s">
        <v>33</v>
      </c>
      <c r="C10" s="163" t="s">
        <v>10</v>
      </c>
      <c r="D10" s="177" t="s">
        <v>34</v>
      </c>
      <c r="E10" s="164">
        <v>3950</v>
      </c>
      <c r="F10" s="171" t="s">
        <v>41</v>
      </c>
    </row>
    <row r="11" spans="1:6" s="178" customFormat="1" ht="15" customHeight="1">
      <c r="A11" s="178" t="s">
        <v>289</v>
      </c>
      <c r="B11" s="178" t="s">
        <v>33</v>
      </c>
      <c r="C11" s="179" t="s">
        <v>290</v>
      </c>
      <c r="D11" s="180" t="s">
        <v>34</v>
      </c>
      <c r="E11" s="181">
        <v>395</v>
      </c>
      <c r="F11" s="184" t="s">
        <v>292</v>
      </c>
    </row>
    <row r="12" spans="1:6" s="133" customFormat="1" ht="15" customHeight="1">
      <c r="F12" s="172"/>
    </row>
    <row r="13" spans="1:6" s="27" customFormat="1" ht="15" customHeight="1">
      <c r="A13" s="24" t="s">
        <v>44</v>
      </c>
      <c r="B13" s="24"/>
      <c r="C13" s="24"/>
      <c r="D13" s="24"/>
      <c r="E13" s="24"/>
      <c r="F13" s="25"/>
    </row>
    <row r="14" spans="1:6" s="178" customFormat="1" ht="15" customHeight="1">
      <c r="A14" s="178" t="s">
        <v>3</v>
      </c>
      <c r="B14" s="178" t="s">
        <v>33</v>
      </c>
      <c r="C14" s="179" t="s">
        <v>4</v>
      </c>
      <c r="D14" s="180" t="s">
        <v>34</v>
      </c>
      <c r="E14" s="185">
        <f>E5*2.5</f>
        <v>2497.5</v>
      </c>
      <c r="F14" s="182" t="s">
        <v>287</v>
      </c>
    </row>
    <row r="15" spans="1:6" s="133" customFormat="1" ht="15" customHeight="1">
      <c r="A15" s="162" t="s">
        <v>7</v>
      </c>
      <c r="B15" s="162" t="s">
        <v>33</v>
      </c>
      <c r="C15" s="163" t="s">
        <v>8</v>
      </c>
      <c r="D15" s="177" t="s">
        <v>34</v>
      </c>
      <c r="E15" s="165">
        <f>E9*2.5</f>
        <v>2487.5</v>
      </c>
      <c r="F15" s="170" t="s">
        <v>45</v>
      </c>
    </row>
    <row r="16" spans="1:6" s="133" customFormat="1" ht="15" customHeight="1">
      <c r="C16" s="161"/>
    </row>
    <row r="17" spans="1:6" s="133" customFormat="1" ht="15" customHeight="1">
      <c r="A17" s="24" t="s">
        <v>52</v>
      </c>
      <c r="B17" s="24"/>
      <c r="C17" s="166"/>
      <c r="D17" s="24"/>
      <c r="E17" s="24"/>
      <c r="F17" s="173"/>
    </row>
    <row r="18" spans="1:6" s="178" customFormat="1" ht="15" customHeight="1">
      <c r="A18" s="178" t="s">
        <v>19</v>
      </c>
      <c r="B18" s="178" t="s">
        <v>299</v>
      </c>
      <c r="C18" s="186" t="s">
        <v>49</v>
      </c>
      <c r="F18" s="187"/>
    </row>
    <row r="19" spans="1:6" s="133" customFormat="1" ht="15" customHeight="1">
      <c r="A19" s="162" t="s">
        <v>50</v>
      </c>
      <c r="B19" s="162" t="s">
        <v>299</v>
      </c>
      <c r="C19" s="167" t="s">
        <v>51</v>
      </c>
      <c r="D19" s="162"/>
      <c r="E19" s="162"/>
      <c r="F19" s="170"/>
    </row>
    <row r="20" spans="1:6" s="5" customFormat="1" ht="15" customHeight="1">
      <c r="C20" s="168"/>
      <c r="F20" s="174"/>
    </row>
    <row r="21" spans="1:6" s="133" customFormat="1" ht="15" customHeight="1">
      <c r="A21" s="24" t="s">
        <v>53</v>
      </c>
      <c r="B21" s="24"/>
      <c r="C21" s="166"/>
      <c r="D21" s="24"/>
      <c r="E21" s="24"/>
      <c r="F21" s="173"/>
    </row>
    <row r="22" spans="1:6" s="5" customFormat="1" ht="27" customHeight="1">
      <c r="A22" s="217" t="s">
        <v>300</v>
      </c>
      <c r="B22" s="218"/>
      <c r="C22" s="218"/>
      <c r="D22" s="218"/>
      <c r="E22" s="218"/>
      <c r="F22" s="218"/>
    </row>
    <row r="23" spans="1:6" s="133" customFormat="1" ht="15" customHeight="1"/>
    <row r="24" spans="1:6" s="133" customFormat="1" ht="15" customHeight="1">
      <c r="A24" s="24" t="s">
        <v>54</v>
      </c>
      <c r="B24" s="24"/>
      <c r="C24" s="24"/>
      <c r="D24" s="24"/>
      <c r="E24" s="24"/>
      <c r="F24" s="24"/>
    </row>
    <row r="25" spans="1:6" s="133" customFormat="1" ht="15" customHeight="1">
      <c r="B25" s="159" t="s">
        <v>55</v>
      </c>
    </row>
    <row r="26" spans="1:6" s="178" customFormat="1" ht="15" customHeight="1">
      <c r="A26" s="178" t="s">
        <v>298</v>
      </c>
      <c r="B26" s="188">
        <v>0</v>
      </c>
    </row>
    <row r="27" spans="1:6" s="133" customFormat="1" ht="15" customHeight="1">
      <c r="A27" s="162" t="s">
        <v>56</v>
      </c>
      <c r="B27" s="169">
        <v>0.65</v>
      </c>
      <c r="C27" s="162"/>
      <c r="D27" s="162"/>
      <c r="E27" s="162"/>
      <c r="F27" s="162"/>
    </row>
    <row r="28" spans="1:6">
      <c r="B28" s="31"/>
    </row>
  </sheetData>
  <mergeCells count="2">
    <mergeCell ref="A22:F22"/>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Creating a Quote</vt:lpstr>
      <vt:lpstr>Configure Products</vt:lpstr>
      <vt:lpstr>Quotation</vt:lpstr>
      <vt:lpstr>Jacket-July-2011</vt:lpstr>
      <vt:lpstr>US List Prices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2011-05-27T19:44:59Z</cp:lastPrinted>
  <dcterms:created xsi:type="dcterms:W3CDTF">2009-12-08T19:30:22Z</dcterms:created>
  <dcterms:modified xsi:type="dcterms:W3CDTF">2011-10-19T14:11:48Z</dcterms:modified>
</cp:coreProperties>
</file>